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is Documentos\DOCUMENTOS DE APOYO\2021\POA\"/>
    </mc:Choice>
  </mc:AlternateContent>
  <bookViews>
    <workbookView xWindow="-120" yWindow="-120" windowWidth="20730" windowHeight="11160" tabRatio="776" firstSheet="3" activeTab="3"/>
  </bookViews>
  <sheets>
    <sheet name="POA INST" sheetId="1" state="hidden" r:id="rId1"/>
    <sheet name="Instructivo Evaluación" sheetId="55" r:id="rId2"/>
    <sheet name="PLAN DESARROLLO" sheetId="30" r:id="rId3"/>
    <sheet name="PROGRAMAS ESTRATEGICOS" sheetId="50" r:id="rId4"/>
    <sheet name="Despliegue POA" sheetId="29" state="hidden" r:id="rId5"/>
    <sheet name="Programa Humanizacion" sheetId="28" r:id="rId6"/>
    <sheet name="Modelo Atención" sheetId="32" r:id="rId7"/>
    <sheet name="Acreditación" sheetId="35" r:id="rId8"/>
    <sheet name="Seguridad Paciente" sheetId="34" r:id="rId9"/>
    <sheet name="Alta Complejidad" sheetId="33" r:id="rId10"/>
    <sheet name="PEGIF" sheetId="36" r:id="rId11"/>
    <sheet name="Costos" sheetId="37" r:id="rId12"/>
    <sheet name="Prevención Daño Ant" sheetId="47" r:id="rId13"/>
    <sheet name="MIPG" sheetId="38" r:id="rId14"/>
    <sheet name="Integración SI" sheetId="48" r:id="rId15"/>
    <sheet name="Construcción-Adecuación" sheetId="49" r:id="rId16"/>
    <sheet name="Gestión Tecnología" sheetId="51" r:id="rId17"/>
    <sheet name="PEGITH" sheetId="52" r:id="rId18"/>
    <sheet name="ISO 140012015" sheetId="39" r:id="rId19"/>
    <sheet name="ISO 450012018" sheetId="40" r:id="rId20"/>
    <sheet name="ISO 90012015" sheetId="54" r:id="rId21"/>
    <sheet name="BPE" sheetId="41" r:id="rId22"/>
    <sheet name="Gestion Investigación" sheetId="56" r:id="rId23"/>
  </sheets>
  <definedNames>
    <definedName name="_xlnm.Print_Area" localSheetId="4">'Despliegue POA'!$A$1:$AA$40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50" l="1"/>
  <c r="S12" i="50"/>
  <c r="L19" i="56" l="1"/>
  <c r="R18" i="56"/>
  <c r="O18" i="56"/>
  <c r="N18" i="56"/>
  <c r="V17" i="56"/>
  <c r="R17" i="56"/>
  <c r="N17" i="56"/>
  <c r="O17" i="56" s="1"/>
  <c r="Y12" i="56"/>
  <c r="M12" i="56"/>
  <c r="X11" i="56"/>
  <c r="AB11" i="56" s="1"/>
  <c r="T11" i="56"/>
  <c r="AA11" i="56" s="1"/>
  <c r="P11" i="56"/>
  <c r="Z11" i="56" s="1"/>
  <c r="AA10" i="56"/>
  <c r="X10" i="56"/>
  <c r="AB10" i="56" s="1"/>
  <c r="T10" i="56"/>
  <c r="P10" i="56"/>
  <c r="Z10" i="56" s="1"/>
  <c r="X9" i="56"/>
  <c r="AB9" i="56" s="1"/>
  <c r="T9" i="56"/>
  <c r="AA9" i="56" s="1"/>
  <c r="P9" i="56"/>
  <c r="Z9" i="56" s="1"/>
  <c r="X8" i="56"/>
  <c r="U17" i="56" s="1"/>
  <c r="T8" i="56"/>
  <c r="AA8" i="56" s="1"/>
  <c r="P8" i="56"/>
  <c r="Z8" i="56" s="1"/>
  <c r="X7" i="56"/>
  <c r="U16" i="56" s="1"/>
  <c r="T7" i="56"/>
  <c r="Q16" i="56" s="1"/>
  <c r="P7" i="56"/>
  <c r="Z7" i="56" s="1"/>
  <c r="Q12" i="56"/>
  <c r="U12" i="56"/>
  <c r="AA7" i="56" l="1"/>
  <c r="AA12" i="56" s="1"/>
  <c r="AB8" i="56"/>
  <c r="W16" i="56"/>
  <c r="AC11" i="56"/>
  <c r="Z12" i="56"/>
  <c r="AC8" i="56"/>
  <c r="AB7" i="56"/>
  <c r="AB12" i="56" s="1"/>
  <c r="Q18" i="56"/>
  <c r="S18" i="56" s="1"/>
  <c r="T18" i="56" s="1"/>
  <c r="U18" i="56"/>
  <c r="X18" i="56" s="1"/>
  <c r="Y18" i="56" s="1"/>
  <c r="T12" i="56"/>
  <c r="M16" i="56"/>
  <c r="P12" i="56"/>
  <c r="X12" i="56"/>
  <c r="Q17" i="56"/>
  <c r="N16" i="56" l="1"/>
  <c r="O16" i="56" s="1"/>
  <c r="O19" i="56" s="1"/>
  <c r="V16" i="56"/>
  <c r="X16" i="56" s="1"/>
  <c r="Y16" i="56" s="1"/>
  <c r="R16" i="56"/>
  <c r="S16" i="56" s="1"/>
  <c r="T16" i="56" s="1"/>
  <c r="AC7" i="56"/>
  <c r="AC12" i="56" s="1"/>
  <c r="W17" i="56"/>
  <c r="X17" i="56" s="1"/>
  <c r="Y17" i="56" s="1"/>
  <c r="S17" i="56"/>
  <c r="T17" i="56" s="1"/>
  <c r="K15" i="30"/>
  <c r="J15" i="30"/>
  <c r="K13" i="30"/>
  <c r="J13" i="30"/>
  <c r="K12" i="30"/>
  <c r="J12" i="30"/>
  <c r="K11" i="30"/>
  <c r="J11" i="30"/>
  <c r="P19" i="34"/>
  <c r="Q19" i="34" s="1"/>
  <c r="P18" i="34"/>
  <c r="Q18" i="34"/>
  <c r="Q17" i="34"/>
  <c r="Q16" i="34"/>
  <c r="O14" i="48"/>
  <c r="O19" i="49"/>
  <c r="O18" i="49"/>
  <c r="O16" i="51"/>
  <c r="O15" i="51"/>
  <c r="O14" i="51"/>
  <c r="O21" i="52"/>
  <c r="O20" i="52"/>
  <c r="Z7" i="54"/>
  <c r="Z7" i="39"/>
  <c r="W8" i="52"/>
  <c r="W9" i="52"/>
  <c r="BA9" i="52" s="1"/>
  <c r="W10" i="52"/>
  <c r="W11" i="52"/>
  <c r="BA11" i="52" s="1"/>
  <c r="W12" i="52"/>
  <c r="W13" i="52"/>
  <c r="BA13" i="52" s="1"/>
  <c r="W14" i="52"/>
  <c r="W7" i="52"/>
  <c r="BA15" i="52"/>
  <c r="BA14" i="52"/>
  <c r="BA12" i="52"/>
  <c r="BA10" i="52"/>
  <c r="BA8" i="52"/>
  <c r="BA7" i="52"/>
  <c r="S9" i="51"/>
  <c r="AI9" i="51" s="1"/>
  <c r="S8" i="51"/>
  <c r="AI8" i="51" s="1"/>
  <c r="S7" i="51"/>
  <c r="AI7" i="51" s="1"/>
  <c r="S9" i="48"/>
  <c r="AI9" i="48" s="1"/>
  <c r="S8" i="48"/>
  <c r="AI8" i="48" s="1"/>
  <c r="S7" i="48"/>
  <c r="AI7" i="48"/>
  <c r="W7" i="38"/>
  <c r="AU7" i="38" s="1"/>
  <c r="P30" i="33"/>
  <c r="P29" i="33"/>
  <c r="P28" i="33"/>
  <c r="P27" i="33"/>
  <c r="P26" i="33"/>
  <c r="P25" i="33"/>
  <c r="P24" i="33"/>
  <c r="P23" i="33"/>
  <c r="P22" i="33"/>
  <c r="P21" i="33"/>
  <c r="P20" i="33"/>
  <c r="P19" i="33"/>
  <c r="P18" i="33"/>
  <c r="P17" i="33"/>
  <c r="P16" i="33"/>
  <c r="P15" i="33"/>
  <c r="P14" i="33"/>
  <c r="P13" i="33"/>
  <c r="M30" i="33"/>
  <c r="N29" i="33"/>
  <c r="O29" i="33" s="1"/>
  <c r="N28" i="33"/>
  <c r="O28" i="33" s="1"/>
  <c r="O27" i="33"/>
  <c r="N27" i="33"/>
  <c r="N26" i="33"/>
  <c r="O26" i="33" s="1"/>
  <c r="N25" i="33"/>
  <c r="O25" i="33" s="1"/>
  <c r="N24" i="33"/>
  <c r="O24" i="33" s="1"/>
  <c r="O23" i="33"/>
  <c r="N23" i="33"/>
  <c r="N22" i="33"/>
  <c r="O22" i="33" s="1"/>
  <c r="N21" i="33"/>
  <c r="O21" i="33" s="1"/>
  <c r="N20" i="33"/>
  <c r="O20" i="33" s="1"/>
  <c r="O19" i="33"/>
  <c r="N19" i="33"/>
  <c r="N18" i="33"/>
  <c r="O18" i="33" s="1"/>
  <c r="N17" i="33"/>
  <c r="O17" i="33" s="1"/>
  <c r="N16" i="33"/>
  <c r="O16" i="33" s="1"/>
  <c r="O15" i="33"/>
  <c r="N15" i="33"/>
  <c r="N14" i="33"/>
  <c r="O14" i="33" s="1"/>
  <c r="N13" i="33"/>
  <c r="O13" i="33" s="1"/>
  <c r="P8" i="33"/>
  <c r="Q8" i="33"/>
  <c r="R8" i="33"/>
  <c r="S8" i="33"/>
  <c r="T8" i="33"/>
  <c r="U8" i="33"/>
  <c r="V8" i="33"/>
  <c r="W8" i="33"/>
  <c r="X8" i="33"/>
  <c r="Y8" i="33"/>
  <c r="Z8" i="33"/>
  <c r="AA8" i="33"/>
  <c r="AB8" i="33"/>
  <c r="AC8" i="33"/>
  <c r="M8" i="33"/>
  <c r="N8" i="33"/>
  <c r="O8" i="33"/>
  <c r="AG8" i="33"/>
  <c r="AH8" i="33"/>
  <c r="AI8" i="33"/>
  <c r="AJ8" i="33"/>
  <c r="AK8" i="33"/>
  <c r="AL8" i="33"/>
  <c r="AM8" i="33"/>
  <c r="AQ8" i="33"/>
  <c r="AR8" i="33"/>
  <c r="AS8" i="33"/>
  <c r="AT8" i="33"/>
  <c r="AU8" i="33"/>
  <c r="AV8" i="33"/>
  <c r="AW8" i="33"/>
  <c r="AX8" i="33"/>
  <c r="BB8" i="33"/>
  <c r="K8" i="30"/>
  <c r="J8" i="30"/>
  <c r="P16" i="34"/>
  <c r="M16" i="34"/>
  <c r="P20" i="34"/>
  <c r="R16" i="34" s="1"/>
  <c r="J10" i="30" s="1"/>
  <c r="M19" i="34"/>
  <c r="H19" i="34"/>
  <c r="M18" i="34"/>
  <c r="H18" i="34"/>
  <c r="P17" i="34"/>
  <c r="M17" i="34"/>
  <c r="H17" i="34"/>
  <c r="H16" i="34"/>
  <c r="G15" i="34"/>
  <c r="AA10" i="34"/>
  <c r="AU10" i="34" s="1"/>
  <c r="AA9" i="34"/>
  <c r="AU9" i="34" s="1"/>
  <c r="AA8" i="34"/>
  <c r="AA7" i="34"/>
  <c r="AU7" i="34"/>
  <c r="AU8" i="34"/>
  <c r="S11" i="34"/>
  <c r="T11" i="34"/>
  <c r="U11" i="34"/>
  <c r="V11" i="34"/>
  <c r="W11" i="34"/>
  <c r="X11" i="34"/>
  <c r="T19" i="56" l="1"/>
  <c r="Y19" i="56"/>
  <c r="O11" i="32"/>
  <c r="Q15" i="28"/>
  <c r="M19" i="32"/>
  <c r="Y9" i="41" l="1"/>
  <c r="X9" i="41"/>
  <c r="M23" i="30" s="1"/>
  <c r="Q23" i="30" s="1"/>
  <c r="U9" i="41"/>
  <c r="Q9" i="41"/>
  <c r="M9" i="41"/>
  <c r="AA7" i="41"/>
  <c r="AA9" i="41" s="1"/>
  <c r="X7" i="41"/>
  <c r="AB7" i="41" s="1"/>
  <c r="AB9" i="41" s="1"/>
  <c r="T7" i="41"/>
  <c r="T9" i="41" s="1"/>
  <c r="L23" i="30" s="1"/>
  <c r="P23" i="30" s="1"/>
  <c r="P7" i="41"/>
  <c r="Z7" i="41" s="1"/>
  <c r="AB8" i="54"/>
  <c r="AA8" i="54"/>
  <c r="Y8" i="54"/>
  <c r="X8" i="54"/>
  <c r="W8" i="54"/>
  <c r="V8" i="54"/>
  <c r="U8" i="54"/>
  <c r="T8" i="54"/>
  <c r="S8" i="54"/>
  <c r="R8" i="54"/>
  <c r="Q8" i="54"/>
  <c r="P8" i="54"/>
  <c r="K22" i="30" s="1"/>
  <c r="O8" i="54"/>
  <c r="N8" i="54"/>
  <c r="M8" i="54"/>
  <c r="AB7" i="54"/>
  <c r="AA7" i="54"/>
  <c r="AC7" i="54"/>
  <c r="AC8" i="54" s="1"/>
  <c r="X7" i="54"/>
  <c r="T7" i="54"/>
  <c r="P7" i="54"/>
  <c r="AB8" i="40"/>
  <c r="AA8" i="40"/>
  <c r="Z8" i="40"/>
  <c r="Y8" i="40"/>
  <c r="X8" i="40"/>
  <c r="W8" i="40"/>
  <c r="V8" i="40"/>
  <c r="U8" i="40"/>
  <c r="T8" i="40"/>
  <c r="S8" i="40"/>
  <c r="R8" i="40"/>
  <c r="Q8" i="40"/>
  <c r="O8" i="40"/>
  <c r="N8" i="40"/>
  <c r="M8" i="40"/>
  <c r="AB7" i="40"/>
  <c r="AA7" i="40"/>
  <c r="X7" i="40"/>
  <c r="T7" i="40"/>
  <c r="P7" i="40"/>
  <c r="Z7" i="40" s="1"/>
  <c r="AC7" i="40" s="1"/>
  <c r="AC8" i="40" s="1"/>
  <c r="S10" i="50" s="1"/>
  <c r="Y8" i="39"/>
  <c r="X8" i="39"/>
  <c r="U8" i="39"/>
  <c r="T8" i="39"/>
  <c r="Q8" i="39"/>
  <c r="M8" i="39"/>
  <c r="AB7" i="39"/>
  <c r="AB8" i="39" s="1"/>
  <c r="AA7" i="39"/>
  <c r="AA8" i="39" s="1"/>
  <c r="X7" i="39"/>
  <c r="T7" i="39"/>
  <c r="P7" i="39"/>
  <c r="P8" i="39" s="1"/>
  <c r="K20" i="30" s="1"/>
  <c r="M22" i="52"/>
  <c r="P21" i="52"/>
  <c r="N21" i="52"/>
  <c r="N20" i="52"/>
  <c r="P20" i="52" s="1"/>
  <c r="BC16" i="52"/>
  <c r="BB16" i="52"/>
  <c r="BA16" i="52"/>
  <c r="AZ16" i="52"/>
  <c r="AY16" i="52"/>
  <c r="AV16" i="52"/>
  <c r="AU16" i="52"/>
  <c r="AT16" i="52"/>
  <c r="AS16" i="52"/>
  <c r="AR16" i="52"/>
  <c r="AQ16" i="52"/>
  <c r="AP16" i="52"/>
  <c r="AO16" i="52"/>
  <c r="AN16" i="52"/>
  <c r="AM16" i="52"/>
  <c r="AL16" i="52"/>
  <c r="AK16" i="52"/>
  <c r="AH16" i="52"/>
  <c r="AG16" i="52"/>
  <c r="AF16" i="52"/>
  <c r="AE16" i="52"/>
  <c r="AD16" i="52"/>
  <c r="AC16" i="52"/>
  <c r="AB16" i="52"/>
  <c r="AA16" i="52"/>
  <c r="Z16" i="52"/>
  <c r="Y16" i="52"/>
  <c r="X16" i="52"/>
  <c r="W16" i="52"/>
  <c r="K19" i="30" s="1"/>
  <c r="O19" i="30" s="1"/>
  <c r="T16" i="52"/>
  <c r="S16" i="52"/>
  <c r="R16" i="52"/>
  <c r="Q16" i="52"/>
  <c r="P16" i="52"/>
  <c r="O16" i="52"/>
  <c r="N16" i="52"/>
  <c r="M16" i="52"/>
  <c r="BD15" i="52"/>
  <c r="BC15" i="52"/>
  <c r="BB15" i="52"/>
  <c r="AY15" i="52"/>
  <c r="AK15" i="52"/>
  <c r="W15" i="52"/>
  <c r="BD14" i="52"/>
  <c r="BC14" i="52"/>
  <c r="BB14" i="52"/>
  <c r="AY14" i="52"/>
  <c r="AK14" i="52"/>
  <c r="BD13" i="52"/>
  <c r="BC13" i="52"/>
  <c r="BB13" i="52"/>
  <c r="AY13" i="52"/>
  <c r="AK13" i="52"/>
  <c r="BD12" i="52"/>
  <c r="BC12" i="52"/>
  <c r="BB12" i="52"/>
  <c r="AY12" i="52"/>
  <c r="AK12" i="52"/>
  <c r="BD11" i="52"/>
  <c r="BC11" i="52"/>
  <c r="BB11" i="52"/>
  <c r="AY11" i="52"/>
  <c r="AK11" i="52"/>
  <c r="BD10" i="52"/>
  <c r="BC10" i="52"/>
  <c r="BB10" i="52"/>
  <c r="AY10" i="52"/>
  <c r="AK10" i="52"/>
  <c r="BD9" i="52"/>
  <c r="BC9" i="52"/>
  <c r="BB9" i="52"/>
  <c r="AY9" i="52"/>
  <c r="AK9" i="52"/>
  <c r="BD8" i="52"/>
  <c r="BC8" i="52"/>
  <c r="BB8" i="52"/>
  <c r="AY8" i="52"/>
  <c r="AK8" i="52"/>
  <c r="BD7" i="52"/>
  <c r="BC7" i="52"/>
  <c r="BB7" i="52"/>
  <c r="AY7" i="52"/>
  <c r="AK7" i="52"/>
  <c r="M17" i="51"/>
  <c r="N16" i="51"/>
  <c r="P16" i="51" s="1"/>
  <c r="L16" i="51"/>
  <c r="N15" i="51"/>
  <c r="P15" i="51" s="1"/>
  <c r="L15" i="51"/>
  <c r="N14" i="51"/>
  <c r="P14" i="51" s="1"/>
  <c r="L14" i="51"/>
  <c r="AI10" i="51"/>
  <c r="AH10" i="51"/>
  <c r="AG10" i="51"/>
  <c r="AD10" i="51"/>
  <c r="AC10" i="51"/>
  <c r="AB10" i="51"/>
  <c r="AA10" i="51"/>
  <c r="Z10" i="51"/>
  <c r="W10" i="51"/>
  <c r="V10" i="51"/>
  <c r="U10" i="51"/>
  <c r="T10" i="51"/>
  <c r="S10" i="51"/>
  <c r="P10" i="51"/>
  <c r="O10" i="51"/>
  <c r="N10" i="51"/>
  <c r="M10" i="51"/>
  <c r="AL9" i="51"/>
  <c r="AK9" i="51"/>
  <c r="AJ9" i="51"/>
  <c r="AG9" i="51"/>
  <c r="Z9" i="51"/>
  <c r="AL8" i="51"/>
  <c r="AK8" i="51"/>
  <c r="AJ8" i="51"/>
  <c r="AG8" i="51"/>
  <c r="Z8" i="51"/>
  <c r="AK7" i="51"/>
  <c r="AK10" i="51" s="1"/>
  <c r="AJ7" i="51"/>
  <c r="AJ10" i="51" s="1"/>
  <c r="AG7" i="51"/>
  <c r="Z7" i="51"/>
  <c r="M20" i="49"/>
  <c r="N18" i="49"/>
  <c r="P18" i="49" s="1"/>
  <c r="L17" i="49"/>
  <c r="O17" i="49" s="1"/>
  <c r="L16" i="49"/>
  <c r="O16" i="49" s="1"/>
  <c r="L15" i="49"/>
  <c r="O15" i="49" s="1"/>
  <c r="Y12" i="49"/>
  <c r="X12" i="49"/>
  <c r="U12" i="49"/>
  <c r="T12" i="49"/>
  <c r="Q12" i="49"/>
  <c r="M12" i="49"/>
  <c r="AB11" i="49"/>
  <c r="AA11" i="49"/>
  <c r="X11" i="49"/>
  <c r="T11" i="49"/>
  <c r="P11" i="49"/>
  <c r="Z11" i="49" s="1"/>
  <c r="AB10" i="49"/>
  <c r="AA10" i="49"/>
  <c r="X10" i="49"/>
  <c r="T10" i="49"/>
  <c r="P10" i="49"/>
  <c r="Z10" i="49" s="1"/>
  <c r="AC10" i="49" s="1"/>
  <c r="AB9" i="49"/>
  <c r="AA9" i="49"/>
  <c r="X9" i="49"/>
  <c r="T9" i="49"/>
  <c r="P9" i="49"/>
  <c r="Z9" i="49" s="1"/>
  <c r="AB8" i="49"/>
  <c r="AA8" i="49"/>
  <c r="X8" i="49"/>
  <c r="T8" i="49"/>
  <c r="P8" i="49"/>
  <c r="Z8" i="49" s="1"/>
  <c r="AC8" i="49" s="1"/>
  <c r="AB7" i="49"/>
  <c r="AB12" i="49" s="1"/>
  <c r="AA7" i="49"/>
  <c r="AA12" i="49" s="1"/>
  <c r="X7" i="49"/>
  <c r="T7" i="49"/>
  <c r="P7" i="49"/>
  <c r="Z7" i="49" s="1"/>
  <c r="M17" i="48"/>
  <c r="N16" i="48"/>
  <c r="L16" i="48"/>
  <c r="N15" i="48"/>
  <c r="L15" i="48"/>
  <c r="P14" i="48"/>
  <c r="N14" i="48"/>
  <c r="L14" i="48"/>
  <c r="AI10" i="48"/>
  <c r="AH10" i="48"/>
  <c r="AD10" i="48"/>
  <c r="AC10" i="48"/>
  <c r="AB10" i="48"/>
  <c r="AA10" i="48"/>
  <c r="W10" i="48"/>
  <c r="V10" i="48"/>
  <c r="U10" i="48"/>
  <c r="S10" i="48"/>
  <c r="P10" i="48"/>
  <c r="O10" i="48"/>
  <c r="N10" i="48"/>
  <c r="M10" i="48"/>
  <c r="Z9" i="48"/>
  <c r="AJ9" i="48" s="1"/>
  <c r="T9" i="48"/>
  <c r="Z8" i="48"/>
  <c r="AJ8" i="48" s="1"/>
  <c r="T8" i="48"/>
  <c r="T10" i="48" s="1"/>
  <c r="AL7" i="48"/>
  <c r="AK7" i="48"/>
  <c r="AJ7" i="48"/>
  <c r="Z7" i="48"/>
  <c r="AT8" i="38"/>
  <c r="AP8" i="38"/>
  <c r="AO8" i="38"/>
  <c r="AN8" i="38"/>
  <c r="AM8" i="38"/>
  <c r="AL8" i="38"/>
  <c r="AK8" i="38"/>
  <c r="AJ8" i="38"/>
  <c r="AI8" i="38"/>
  <c r="AE8" i="38"/>
  <c r="AD8" i="38"/>
  <c r="AC8" i="38"/>
  <c r="AB8" i="38"/>
  <c r="AA8" i="38"/>
  <c r="Z8" i="38"/>
  <c r="Y8" i="38"/>
  <c r="X8" i="38"/>
  <c r="W8" i="38"/>
  <c r="T8" i="38"/>
  <c r="S8" i="38"/>
  <c r="R8" i="38"/>
  <c r="Q8" i="38"/>
  <c r="P8" i="38"/>
  <c r="O8" i="38"/>
  <c r="N8" i="38"/>
  <c r="M8" i="38"/>
  <c r="AV7" i="38"/>
  <c r="AV8" i="38" s="1"/>
  <c r="AS7" i="38"/>
  <c r="AS8" i="38" s="1"/>
  <c r="M15" i="30" s="1"/>
  <c r="Q15" i="30" s="1"/>
  <c r="AH7" i="38"/>
  <c r="AH8" i="38" s="1"/>
  <c r="L15" i="30" s="1"/>
  <c r="P15" i="30" s="1"/>
  <c r="M18" i="47"/>
  <c r="N17" i="47"/>
  <c r="AC10" i="47"/>
  <c r="Y10" i="47"/>
  <c r="X10" i="47"/>
  <c r="W10" i="47"/>
  <c r="S10" i="47"/>
  <c r="R10" i="47"/>
  <c r="Q10" i="47"/>
  <c r="M10" i="47"/>
  <c r="AB9" i="47"/>
  <c r="AF9" i="47" s="1"/>
  <c r="V9" i="47"/>
  <c r="AE9" i="47" s="1"/>
  <c r="P9" i="47"/>
  <c r="AD9" i="47" s="1"/>
  <c r="AB8" i="47"/>
  <c r="AF8" i="47" s="1"/>
  <c r="V8" i="47"/>
  <c r="P8" i="47"/>
  <c r="N16" i="47" s="1"/>
  <c r="AB7" i="47"/>
  <c r="AF7" i="47" s="1"/>
  <c r="V7" i="47"/>
  <c r="AE7" i="47" s="1"/>
  <c r="P7" i="47"/>
  <c r="P10" i="47" s="1"/>
  <c r="AC12" i="37"/>
  <c r="AB12" i="37"/>
  <c r="AA12" i="37"/>
  <c r="Z12" i="37"/>
  <c r="Y12" i="37"/>
  <c r="X12" i="37"/>
  <c r="U12" i="37"/>
  <c r="T12" i="37"/>
  <c r="Q12" i="37"/>
  <c r="M12" i="37"/>
  <c r="AC11" i="37"/>
  <c r="AB11" i="37"/>
  <c r="AA11" i="37"/>
  <c r="Z11" i="37"/>
  <c r="X11" i="37"/>
  <c r="T11" i="37"/>
  <c r="P11" i="37"/>
  <c r="AC10" i="37"/>
  <c r="AB10" i="37"/>
  <c r="AA10" i="37"/>
  <c r="Z10" i="37"/>
  <c r="X10" i="37"/>
  <c r="T10" i="37"/>
  <c r="P10" i="37"/>
  <c r="AC9" i="37"/>
  <c r="AB9" i="37"/>
  <c r="AA9" i="37"/>
  <c r="Z9" i="37"/>
  <c r="X9" i="37"/>
  <c r="T9" i="37"/>
  <c r="P9" i="37"/>
  <c r="AC8" i="37"/>
  <c r="AB8" i="37"/>
  <c r="AA8" i="37"/>
  <c r="Z8" i="37"/>
  <c r="X8" i="37"/>
  <c r="T8" i="37"/>
  <c r="P8" i="37"/>
  <c r="AC7" i="37"/>
  <c r="AB7" i="37"/>
  <c r="AA7" i="37"/>
  <c r="Z7" i="37"/>
  <c r="X7" i="37"/>
  <c r="T7" i="37"/>
  <c r="P7" i="37"/>
  <c r="AR29" i="36"/>
  <c r="AP29" i="36"/>
  <c r="AO29" i="36"/>
  <c r="AN29" i="36"/>
  <c r="AK29" i="36"/>
  <c r="AJ29" i="36"/>
  <c r="AI29" i="36"/>
  <c r="AH29" i="36"/>
  <c r="AG29" i="36"/>
  <c r="AF29" i="36"/>
  <c r="AB29" i="36"/>
  <c r="AA29" i="36"/>
  <c r="Z29" i="36"/>
  <c r="Y29" i="36"/>
  <c r="X29" i="36"/>
  <c r="W29" i="36"/>
  <c r="S29" i="36"/>
  <c r="Q29" i="36"/>
  <c r="P29" i="36"/>
  <c r="O29" i="36"/>
  <c r="N29" i="36"/>
  <c r="M29" i="36"/>
  <c r="AS28" i="36"/>
  <c r="AR28" i="36"/>
  <c r="AQ28" i="36"/>
  <c r="AP28" i="36"/>
  <c r="AN28" i="36"/>
  <c r="AE28" i="36"/>
  <c r="V28" i="36"/>
  <c r="AS27" i="36"/>
  <c r="AR27" i="36"/>
  <c r="AQ27" i="36"/>
  <c r="AP27" i="36"/>
  <c r="AN27" i="36"/>
  <c r="AE27" i="36"/>
  <c r="V27" i="36"/>
  <c r="AS26" i="36"/>
  <c r="AR26" i="36"/>
  <c r="AQ26" i="36"/>
  <c r="AP26" i="36"/>
  <c r="AN26" i="36"/>
  <c r="AE26" i="36"/>
  <c r="V26" i="36"/>
  <c r="AS25" i="36"/>
  <c r="AR25" i="36"/>
  <c r="AQ25" i="36"/>
  <c r="AP25" i="36"/>
  <c r="AN25" i="36"/>
  <c r="AE25" i="36"/>
  <c r="V25" i="36"/>
  <c r="AS24" i="36"/>
  <c r="AR24" i="36"/>
  <c r="AQ24" i="36"/>
  <c r="AP24" i="36"/>
  <c r="AN24" i="36"/>
  <c r="AE24" i="36"/>
  <c r="V24" i="36"/>
  <c r="AS23" i="36"/>
  <c r="AR23" i="36"/>
  <c r="AQ23" i="36"/>
  <c r="AP23" i="36"/>
  <c r="AN23" i="36"/>
  <c r="AE23" i="36"/>
  <c r="V23" i="36"/>
  <c r="AS22" i="36"/>
  <c r="AR22" i="36"/>
  <c r="AQ22" i="36"/>
  <c r="AP22" i="36"/>
  <c r="AN22" i="36"/>
  <c r="AE22" i="36"/>
  <c r="V22" i="36"/>
  <c r="AS21" i="36"/>
  <c r="AR21" i="36"/>
  <c r="AQ21" i="36"/>
  <c r="AP21" i="36"/>
  <c r="AN21" i="36"/>
  <c r="AE21" i="36"/>
  <c r="V21" i="36"/>
  <c r="AS20" i="36"/>
  <c r="AR20" i="36"/>
  <c r="AQ20" i="36"/>
  <c r="AP20" i="36"/>
  <c r="AN20" i="36"/>
  <c r="AE20" i="36"/>
  <c r="V20" i="36"/>
  <c r="AS19" i="36"/>
  <c r="AR19" i="36"/>
  <c r="AQ19" i="36"/>
  <c r="AP19" i="36"/>
  <c r="AN19" i="36"/>
  <c r="AE19" i="36"/>
  <c r="V19" i="36"/>
  <c r="AS18" i="36"/>
  <c r="AR18" i="36"/>
  <c r="AQ18" i="36"/>
  <c r="AP18" i="36"/>
  <c r="AN18" i="36"/>
  <c r="AE18" i="36"/>
  <c r="V18" i="36"/>
  <c r="AS17" i="36"/>
  <c r="AR17" i="36"/>
  <c r="AQ17" i="36"/>
  <c r="AP17" i="36"/>
  <c r="AN17" i="36"/>
  <c r="AE17" i="36"/>
  <c r="V17" i="36"/>
  <c r="AS16" i="36"/>
  <c r="AR16" i="36"/>
  <c r="AQ16" i="36"/>
  <c r="AP16" i="36"/>
  <c r="AN16" i="36"/>
  <c r="AE16" i="36"/>
  <c r="V16" i="36"/>
  <c r="AS15" i="36"/>
  <c r="AR15" i="36"/>
  <c r="AQ15" i="36"/>
  <c r="AP15" i="36"/>
  <c r="AN15" i="36"/>
  <c r="AE15" i="36"/>
  <c r="V15" i="36"/>
  <c r="AS14" i="36"/>
  <c r="AR14" i="36"/>
  <c r="AQ14" i="36"/>
  <c r="AP14" i="36"/>
  <c r="AN14" i="36"/>
  <c r="AE14" i="36"/>
  <c r="V14" i="36"/>
  <c r="AS13" i="36"/>
  <c r="AR13" i="36"/>
  <c r="AQ13" i="36"/>
  <c r="AP13" i="36"/>
  <c r="AN13" i="36"/>
  <c r="AE13" i="36"/>
  <c r="V13" i="36"/>
  <c r="AS12" i="36"/>
  <c r="AR12" i="36"/>
  <c r="AQ12" i="36"/>
  <c r="AP12" i="36"/>
  <c r="AN12" i="36"/>
  <c r="AE12" i="36"/>
  <c r="V12" i="36"/>
  <c r="AR11" i="36"/>
  <c r="AP11" i="36"/>
  <c r="AN11" i="36"/>
  <c r="AE11" i="36"/>
  <c r="AQ11" i="36" s="1"/>
  <c r="V11" i="36"/>
  <c r="AS10" i="36"/>
  <c r="AR10" i="36"/>
  <c r="AQ10" i="36"/>
  <c r="AP10" i="36"/>
  <c r="AN10" i="36"/>
  <c r="AE10" i="36"/>
  <c r="V10" i="36"/>
  <c r="AS9" i="36"/>
  <c r="AR9" i="36"/>
  <c r="AQ9" i="36"/>
  <c r="AP9" i="36"/>
  <c r="AN9" i="36"/>
  <c r="AE9" i="36"/>
  <c r="V9" i="36"/>
  <c r="AS8" i="36"/>
  <c r="AR8" i="36"/>
  <c r="AQ8" i="36"/>
  <c r="AP8" i="36"/>
  <c r="AN8" i="36"/>
  <c r="AE8" i="36"/>
  <c r="V8" i="36"/>
  <c r="AS7" i="36"/>
  <c r="AR7" i="36"/>
  <c r="AQ7" i="36"/>
  <c r="AP7" i="36"/>
  <c r="AN7" i="36"/>
  <c r="AE7" i="36"/>
  <c r="V7" i="36"/>
  <c r="BA7" i="33"/>
  <c r="AP7" i="33"/>
  <c r="AF7" i="33"/>
  <c r="AF8" i="33" s="1"/>
  <c r="AT11" i="34"/>
  <c r="AR11" i="34"/>
  <c r="AQ11" i="34"/>
  <c r="AP11" i="34"/>
  <c r="AO11" i="34"/>
  <c r="AN11" i="34"/>
  <c r="AM11" i="34"/>
  <c r="AL11" i="34"/>
  <c r="AK11" i="34"/>
  <c r="AI11" i="34"/>
  <c r="AH11" i="34"/>
  <c r="AG11" i="34"/>
  <c r="AF11" i="34"/>
  <c r="AE11" i="34"/>
  <c r="AD11" i="34"/>
  <c r="AC11" i="34"/>
  <c r="AB11" i="34"/>
  <c r="R11" i="34"/>
  <c r="Q11" i="34"/>
  <c r="P11" i="34"/>
  <c r="O11" i="34"/>
  <c r="N11" i="34"/>
  <c r="M11" i="34"/>
  <c r="AS10" i="34"/>
  <c r="AW10" i="34" s="1"/>
  <c r="AJ10" i="34"/>
  <c r="AV10" i="34" s="1"/>
  <c r="AS9" i="34"/>
  <c r="AW9" i="34" s="1"/>
  <c r="AJ9" i="34"/>
  <c r="AV9" i="34" s="1"/>
  <c r="AS8" i="34"/>
  <c r="AW8" i="34" s="1"/>
  <c r="AJ8" i="34"/>
  <c r="AV8" i="34" s="1"/>
  <c r="AS7" i="34"/>
  <c r="AW7" i="34" s="1"/>
  <c r="AJ7" i="34"/>
  <c r="AJ11" i="34" s="1"/>
  <c r="L10" i="30" s="1"/>
  <c r="P10" i="30" s="1"/>
  <c r="AV9" i="35"/>
  <c r="AU9" i="35"/>
  <c r="AT9" i="35"/>
  <c r="AP9" i="35"/>
  <c r="AO9" i="35"/>
  <c r="AN9" i="35"/>
  <c r="AM9" i="35"/>
  <c r="AL9" i="35"/>
  <c r="AK9" i="35"/>
  <c r="AJ9" i="35"/>
  <c r="AI9" i="35"/>
  <c r="AH9" i="35"/>
  <c r="AE9" i="35"/>
  <c r="AD9" i="35"/>
  <c r="AC9" i="35"/>
  <c r="AB9" i="35"/>
  <c r="AA9" i="35"/>
  <c r="Z9" i="35"/>
  <c r="Y9" i="35"/>
  <c r="X9" i="35"/>
  <c r="T9" i="35"/>
  <c r="S9" i="35"/>
  <c r="R9" i="35"/>
  <c r="Q9" i="35"/>
  <c r="P9" i="35"/>
  <c r="O9" i="35"/>
  <c r="N9" i="35"/>
  <c r="M9" i="35"/>
  <c r="AS8" i="35"/>
  <c r="AS9" i="35" s="1"/>
  <c r="M9" i="30" s="1"/>
  <c r="Q9" i="30" s="1"/>
  <c r="AH8" i="35"/>
  <c r="W8" i="35"/>
  <c r="W9" i="35" s="1"/>
  <c r="K9" i="30" s="1"/>
  <c r="O9" i="30" s="1"/>
  <c r="R9" i="30" s="1"/>
  <c r="AX7" i="35"/>
  <c r="AW7" i="35"/>
  <c r="AS7" i="35"/>
  <c r="AH7" i="35"/>
  <c r="W7" i="35"/>
  <c r="N18" i="32"/>
  <c r="M18" i="32"/>
  <c r="N17" i="32"/>
  <c r="M17" i="32"/>
  <c r="N16" i="32"/>
  <c r="M16" i="32"/>
  <c r="N15" i="32"/>
  <c r="M15" i="32"/>
  <c r="N14" i="32"/>
  <c r="M14" i="32"/>
  <c r="N13" i="32"/>
  <c r="M13" i="32"/>
  <c r="N12" i="32"/>
  <c r="M12" i="32"/>
  <c r="N8" i="30"/>
  <c r="N11" i="32"/>
  <c r="M11" i="32"/>
  <c r="AX8" i="32"/>
  <c r="AW8" i="32"/>
  <c r="AV8" i="32"/>
  <c r="AU8" i="32"/>
  <c r="AT8" i="32"/>
  <c r="AS8" i="32"/>
  <c r="AP8" i="32"/>
  <c r="AO8" i="32"/>
  <c r="AN8" i="32"/>
  <c r="AM8" i="32"/>
  <c r="AL8" i="32"/>
  <c r="AK8" i="32"/>
  <c r="AJ8" i="32"/>
  <c r="AI8" i="32"/>
  <c r="AH8" i="32"/>
  <c r="AE8" i="32"/>
  <c r="AD8" i="32"/>
  <c r="AC8" i="32"/>
  <c r="AB8" i="32"/>
  <c r="AA8" i="32"/>
  <c r="Z8" i="32"/>
  <c r="Y8" i="32"/>
  <c r="X8" i="32"/>
  <c r="W8" i="32"/>
  <c r="T8" i="32"/>
  <c r="S8" i="32"/>
  <c r="R8" i="32"/>
  <c r="Q8" i="32"/>
  <c r="P8" i="32"/>
  <c r="O8" i="32"/>
  <c r="N8" i="32"/>
  <c r="M8" i="32"/>
  <c r="AX7" i="32"/>
  <c r="AW7" i="32"/>
  <c r="AV7" i="32"/>
  <c r="AU7" i="32"/>
  <c r="AS7" i="32"/>
  <c r="AH7" i="32"/>
  <c r="W7" i="32"/>
  <c r="O19" i="28"/>
  <c r="P18" i="28"/>
  <c r="O18" i="28"/>
  <c r="P17" i="28"/>
  <c r="O17" i="28"/>
  <c r="P16" i="28"/>
  <c r="O16" i="28"/>
  <c r="P15" i="28"/>
  <c r="O15" i="28"/>
  <c r="AU12" i="28"/>
  <c r="AT12" i="28"/>
  <c r="AS12" i="28"/>
  <c r="AR12" i="28"/>
  <c r="AQ12" i="28"/>
  <c r="AP12" i="28"/>
  <c r="AM12" i="28"/>
  <c r="AL12" i="28"/>
  <c r="AK12" i="28"/>
  <c r="AJ12" i="28"/>
  <c r="AI12" i="28"/>
  <c r="AH12" i="28"/>
  <c r="AG12" i="28"/>
  <c r="AF12" i="28"/>
  <c r="AC12" i="28"/>
  <c r="AB12" i="28"/>
  <c r="AA12" i="28"/>
  <c r="Z12" i="28"/>
  <c r="Y12" i="28"/>
  <c r="X12" i="28"/>
  <c r="W12" i="28"/>
  <c r="V12" i="28"/>
  <c r="S12" i="28"/>
  <c r="R12" i="28"/>
  <c r="Q12" i="28"/>
  <c r="P12" i="28"/>
  <c r="O12" i="28"/>
  <c r="N12" i="28"/>
  <c r="M12" i="28"/>
  <c r="AU11" i="28"/>
  <c r="AT11" i="28"/>
  <c r="AS11" i="28"/>
  <c r="AR11" i="28"/>
  <c r="AP11" i="28"/>
  <c r="AF11" i="28"/>
  <c r="AU10" i="28"/>
  <c r="AT10" i="28"/>
  <c r="AS10" i="28"/>
  <c r="AR10" i="28"/>
  <c r="AP10" i="28"/>
  <c r="AF10" i="28"/>
  <c r="V10" i="28"/>
  <c r="AU9" i="28"/>
  <c r="AT9" i="28"/>
  <c r="AS9" i="28"/>
  <c r="AR9" i="28"/>
  <c r="AP9" i="28"/>
  <c r="AF9" i="28"/>
  <c r="V9" i="28"/>
  <c r="AU8" i="28"/>
  <c r="AT8" i="28"/>
  <c r="AS8" i="28"/>
  <c r="AR8" i="28"/>
  <c r="AP8" i="28"/>
  <c r="AF8" i="28"/>
  <c r="V8" i="28"/>
  <c r="AU7" i="28"/>
  <c r="AT7" i="28"/>
  <c r="AS7" i="28"/>
  <c r="AR7" i="28"/>
  <c r="AP7" i="28"/>
  <c r="AF7" i="28"/>
  <c r="V7" i="28"/>
  <c r="C17" i="50"/>
  <c r="F9" i="50"/>
  <c r="S8" i="50"/>
  <c r="L8" i="50"/>
  <c r="F8" i="50"/>
  <c r="S7" i="50"/>
  <c r="F7" i="50"/>
  <c r="L6" i="50"/>
  <c r="O28" i="30"/>
  <c r="N28" i="30"/>
  <c r="M28" i="30"/>
  <c r="Q28" i="30" s="1"/>
  <c r="L28" i="30"/>
  <c r="P28" i="30" s="1"/>
  <c r="O27" i="30"/>
  <c r="N27" i="30"/>
  <c r="M27" i="30"/>
  <c r="Q27" i="30" s="1"/>
  <c r="L27" i="30"/>
  <c r="P27" i="30" s="1"/>
  <c r="N26" i="30"/>
  <c r="M26" i="30"/>
  <c r="Q26" i="30" s="1"/>
  <c r="L26" i="30"/>
  <c r="P26" i="30" s="1"/>
  <c r="K26" i="30"/>
  <c r="O26" i="30" s="1"/>
  <c r="Q25" i="30"/>
  <c r="M25" i="30"/>
  <c r="L25" i="30"/>
  <c r="P25" i="30" s="1"/>
  <c r="K25" i="30"/>
  <c r="O25" i="30" s="1"/>
  <c r="N24" i="30"/>
  <c r="M24" i="30"/>
  <c r="Q24" i="30" s="1"/>
  <c r="L24" i="30"/>
  <c r="P24" i="30" s="1"/>
  <c r="K24" i="30"/>
  <c r="O24" i="30" s="1"/>
  <c r="N23" i="30"/>
  <c r="Q22" i="30"/>
  <c r="P22" i="30"/>
  <c r="N22" i="30"/>
  <c r="M22" i="30"/>
  <c r="L22" i="30"/>
  <c r="Q21" i="30"/>
  <c r="P21" i="30"/>
  <c r="N21" i="30"/>
  <c r="M21" i="30"/>
  <c r="L21" i="30"/>
  <c r="R20" i="30"/>
  <c r="Q20" i="30"/>
  <c r="P20" i="30"/>
  <c r="O20" i="30"/>
  <c r="N20" i="30"/>
  <c r="M20" i="30"/>
  <c r="L20" i="30"/>
  <c r="Q19" i="30"/>
  <c r="P19" i="30"/>
  <c r="M19" i="30"/>
  <c r="L19" i="30"/>
  <c r="Q18" i="30"/>
  <c r="P18" i="30"/>
  <c r="O18" i="30"/>
  <c r="M18" i="30"/>
  <c r="L18" i="30"/>
  <c r="K18" i="30"/>
  <c r="Q17" i="30"/>
  <c r="P17" i="30"/>
  <c r="O17" i="30"/>
  <c r="M17" i="30"/>
  <c r="L17" i="30"/>
  <c r="K17" i="30"/>
  <c r="O15" i="30"/>
  <c r="N15" i="30"/>
  <c r="Q13" i="30"/>
  <c r="P13" i="30"/>
  <c r="O13" i="30"/>
  <c r="N13" i="30"/>
  <c r="M13" i="30"/>
  <c r="L13" i="30"/>
  <c r="Q12" i="30"/>
  <c r="O12" i="30"/>
  <c r="N12" i="30"/>
  <c r="M12" i="30"/>
  <c r="O11" i="30"/>
  <c r="N11" i="30"/>
  <c r="N10" i="30"/>
  <c r="P9" i="30"/>
  <c r="N9" i="30"/>
  <c r="J9" i="30"/>
  <c r="Q8" i="30"/>
  <c r="P8" i="30"/>
  <c r="O8" i="30"/>
  <c r="M8" i="30"/>
  <c r="L8" i="30"/>
  <c r="Q7" i="30"/>
  <c r="P7" i="30"/>
  <c r="O7" i="30"/>
  <c r="M7" i="30"/>
  <c r="L7" i="30"/>
  <c r="K7" i="30"/>
  <c r="J7" i="30"/>
  <c r="N7" i="30" s="1"/>
  <c r="R7" i="30" s="1"/>
  <c r="R69" i="1"/>
  <c r="R68" i="1"/>
  <c r="Q68" i="1"/>
  <c r="P68" i="1"/>
  <c r="O68" i="1"/>
  <c r="N68" i="1"/>
  <c r="R67" i="1"/>
  <c r="Q67" i="1"/>
  <c r="P67" i="1"/>
  <c r="O67" i="1"/>
  <c r="N67" i="1"/>
  <c r="R66" i="1"/>
  <c r="Q66" i="1"/>
  <c r="P66" i="1"/>
  <c r="O66" i="1"/>
  <c r="N66" i="1"/>
  <c r="R65" i="1"/>
  <c r="Q65" i="1"/>
  <c r="P65" i="1"/>
  <c r="O65" i="1"/>
  <c r="N65" i="1"/>
  <c r="R64" i="1"/>
  <c r="Q64" i="1"/>
  <c r="P64" i="1"/>
  <c r="O64" i="1"/>
  <c r="N64" i="1"/>
  <c r="R63" i="1"/>
  <c r="Q63" i="1"/>
  <c r="P63" i="1"/>
  <c r="O63" i="1"/>
  <c r="N63" i="1"/>
  <c r="R62" i="1"/>
  <c r="Q62" i="1"/>
  <c r="P62" i="1"/>
  <c r="O62" i="1"/>
  <c r="N62" i="1"/>
  <c r="R61" i="1"/>
  <c r="Q61" i="1"/>
  <c r="P61" i="1"/>
  <c r="O61" i="1"/>
  <c r="N61" i="1"/>
  <c r="R60" i="1"/>
  <c r="Q60" i="1"/>
  <c r="P60" i="1"/>
  <c r="O60" i="1"/>
  <c r="N60" i="1"/>
  <c r="R59" i="1"/>
  <c r="Q59" i="1"/>
  <c r="P59" i="1"/>
  <c r="O59" i="1"/>
  <c r="N59" i="1"/>
  <c r="R58" i="1"/>
  <c r="Q58" i="1"/>
  <c r="P58" i="1"/>
  <c r="O58" i="1"/>
  <c r="N58" i="1"/>
  <c r="R57" i="1"/>
  <c r="Q57" i="1"/>
  <c r="P57" i="1"/>
  <c r="O57" i="1"/>
  <c r="N57" i="1"/>
  <c r="R56" i="1"/>
  <c r="Q56" i="1"/>
  <c r="P56" i="1"/>
  <c r="O56" i="1"/>
  <c r="N56" i="1"/>
  <c r="R55" i="1"/>
  <c r="Q55" i="1"/>
  <c r="P55" i="1"/>
  <c r="O55" i="1"/>
  <c r="N55" i="1"/>
  <c r="R54" i="1"/>
  <c r="Q54" i="1"/>
  <c r="P54" i="1"/>
  <c r="O54" i="1"/>
  <c r="N54" i="1"/>
  <c r="R53" i="1"/>
  <c r="Q53" i="1"/>
  <c r="P53" i="1"/>
  <c r="O53" i="1"/>
  <c r="N53" i="1"/>
  <c r="R52" i="1"/>
  <c r="Q52" i="1"/>
  <c r="P52" i="1"/>
  <c r="O52" i="1"/>
  <c r="N52" i="1"/>
  <c r="R51" i="1"/>
  <c r="Q51" i="1"/>
  <c r="P51" i="1"/>
  <c r="O51" i="1"/>
  <c r="N51" i="1"/>
  <c r="R50" i="1"/>
  <c r="Q50" i="1"/>
  <c r="P50" i="1"/>
  <c r="O50" i="1"/>
  <c r="N50" i="1"/>
  <c r="R49" i="1"/>
  <c r="Q49" i="1"/>
  <c r="P49" i="1"/>
  <c r="O49" i="1"/>
  <c r="N49" i="1"/>
  <c r="R48" i="1"/>
  <c r="Q48" i="1"/>
  <c r="P48" i="1"/>
  <c r="O48" i="1"/>
  <c r="N48" i="1"/>
  <c r="R47" i="1"/>
  <c r="Q47" i="1"/>
  <c r="P47" i="1"/>
  <c r="O47" i="1"/>
  <c r="N47" i="1"/>
  <c r="R46" i="1"/>
  <c r="Q46" i="1"/>
  <c r="P46" i="1"/>
  <c r="O46" i="1"/>
  <c r="N46" i="1"/>
  <c r="R45" i="1"/>
  <c r="Q45" i="1"/>
  <c r="P45" i="1"/>
  <c r="O45" i="1"/>
  <c r="N45" i="1"/>
  <c r="R44" i="1"/>
  <c r="Q44" i="1"/>
  <c r="P44" i="1"/>
  <c r="O44" i="1"/>
  <c r="N44" i="1"/>
  <c r="R43" i="1"/>
  <c r="Q43" i="1"/>
  <c r="P43" i="1"/>
  <c r="O43" i="1"/>
  <c r="N43" i="1"/>
  <c r="R42" i="1"/>
  <c r="Q42" i="1"/>
  <c r="P42" i="1"/>
  <c r="O42" i="1"/>
  <c r="N42" i="1"/>
  <c r="R41" i="1"/>
  <c r="Q41" i="1"/>
  <c r="P41" i="1"/>
  <c r="O41" i="1"/>
  <c r="N41" i="1"/>
  <c r="R40" i="1"/>
  <c r="Q40" i="1"/>
  <c r="P40" i="1"/>
  <c r="O40" i="1"/>
  <c r="N40" i="1"/>
  <c r="R39" i="1"/>
  <c r="Q39" i="1"/>
  <c r="P39" i="1"/>
  <c r="O39" i="1"/>
  <c r="N39" i="1"/>
  <c r="R38" i="1"/>
  <c r="Q38" i="1"/>
  <c r="P38" i="1"/>
  <c r="O38" i="1"/>
  <c r="N38" i="1"/>
  <c r="R37" i="1"/>
  <c r="Q37" i="1"/>
  <c r="P37" i="1"/>
  <c r="O37" i="1"/>
  <c r="N37" i="1"/>
  <c r="R36" i="1"/>
  <c r="Q36" i="1"/>
  <c r="P36" i="1"/>
  <c r="O36" i="1"/>
  <c r="N36" i="1"/>
  <c r="R35" i="1"/>
  <c r="Q35" i="1"/>
  <c r="P35" i="1"/>
  <c r="O35" i="1"/>
  <c r="N35" i="1"/>
  <c r="R34" i="1"/>
  <c r="Q34" i="1"/>
  <c r="P34" i="1"/>
  <c r="O34" i="1"/>
  <c r="N34" i="1"/>
  <c r="R33" i="1"/>
  <c r="Q33" i="1"/>
  <c r="P33" i="1"/>
  <c r="O33" i="1"/>
  <c r="N33" i="1"/>
  <c r="R32" i="1"/>
  <c r="Q32" i="1"/>
  <c r="P32" i="1"/>
  <c r="O32" i="1"/>
  <c r="N32" i="1"/>
  <c r="R31" i="1"/>
  <c r="Q31" i="1"/>
  <c r="P31" i="1"/>
  <c r="O31" i="1"/>
  <c r="N31" i="1"/>
  <c r="R30" i="1"/>
  <c r="Q30" i="1"/>
  <c r="P30" i="1"/>
  <c r="O30" i="1"/>
  <c r="N30" i="1"/>
  <c r="R29" i="1"/>
  <c r="Q29" i="1"/>
  <c r="P29" i="1"/>
  <c r="O29" i="1"/>
  <c r="N29" i="1"/>
  <c r="R28" i="1"/>
  <c r="Q28" i="1"/>
  <c r="P28" i="1"/>
  <c r="O28" i="1"/>
  <c r="N28" i="1"/>
  <c r="R27" i="1"/>
  <c r="Q27" i="1"/>
  <c r="P27" i="1"/>
  <c r="O27" i="1"/>
  <c r="N27" i="1"/>
  <c r="R26" i="1"/>
  <c r="Q26" i="1"/>
  <c r="P26" i="1"/>
  <c r="O26" i="1"/>
  <c r="N26" i="1"/>
  <c r="R25" i="1"/>
  <c r="Q25" i="1"/>
  <c r="P25" i="1"/>
  <c r="O25" i="1"/>
  <c r="N25" i="1"/>
  <c r="R24" i="1"/>
  <c r="Q24" i="1"/>
  <c r="P24" i="1"/>
  <c r="O24" i="1"/>
  <c r="N24" i="1"/>
  <c r="R23" i="1"/>
  <c r="Q23" i="1"/>
  <c r="P23" i="1"/>
  <c r="O23" i="1"/>
  <c r="N23" i="1"/>
  <c r="R22" i="1"/>
  <c r="Q22" i="1"/>
  <c r="P22" i="1"/>
  <c r="O22" i="1"/>
  <c r="N22" i="1"/>
  <c r="R21" i="1"/>
  <c r="Q21" i="1"/>
  <c r="P21" i="1"/>
  <c r="O21" i="1"/>
  <c r="N21" i="1"/>
  <c r="R20" i="1"/>
  <c r="Q20" i="1"/>
  <c r="P20" i="1"/>
  <c r="O20" i="1"/>
  <c r="N20" i="1"/>
  <c r="R19" i="1"/>
  <c r="Q19" i="1"/>
  <c r="P19" i="1"/>
  <c r="O19" i="1"/>
  <c r="N19" i="1"/>
  <c r="R18" i="1"/>
  <c r="Q18" i="1"/>
  <c r="P18" i="1"/>
  <c r="O18" i="1"/>
  <c r="N18" i="1"/>
  <c r="R17" i="1"/>
  <c r="Q17" i="1"/>
  <c r="P17" i="1"/>
  <c r="O17" i="1"/>
  <c r="N17" i="1"/>
  <c r="R16" i="1"/>
  <c r="Q16" i="1"/>
  <c r="P16" i="1"/>
  <c r="O16" i="1"/>
  <c r="N16" i="1"/>
  <c r="R15" i="1"/>
  <c r="Q15" i="1"/>
  <c r="P15" i="1"/>
  <c r="O15" i="1"/>
  <c r="N15" i="1"/>
  <c r="R14" i="1"/>
  <c r="Q14" i="1"/>
  <c r="P14" i="1"/>
  <c r="O14" i="1"/>
  <c r="N14" i="1"/>
  <c r="R13" i="1"/>
  <c r="Q13" i="1"/>
  <c r="P13" i="1"/>
  <c r="O13" i="1"/>
  <c r="N13" i="1"/>
  <c r="R12" i="1"/>
  <c r="Q12" i="1"/>
  <c r="P12" i="1"/>
  <c r="O12" i="1"/>
  <c r="N12" i="1"/>
  <c r="R11" i="1"/>
  <c r="Q11" i="1"/>
  <c r="P11" i="1"/>
  <c r="O11" i="1"/>
  <c r="N11" i="1"/>
  <c r="R10" i="1"/>
  <c r="Q10" i="1"/>
  <c r="P10" i="1"/>
  <c r="O10" i="1"/>
  <c r="N10" i="1"/>
  <c r="R9" i="1"/>
  <c r="Q9" i="1"/>
  <c r="P9" i="1"/>
  <c r="O9" i="1"/>
  <c r="N9" i="1"/>
  <c r="R8" i="1"/>
  <c r="Q8" i="1"/>
  <c r="P8" i="1"/>
  <c r="O8" i="1"/>
  <c r="N8" i="1"/>
  <c r="R7" i="1"/>
  <c r="Q7" i="1"/>
  <c r="P7" i="1"/>
  <c r="N7" i="1"/>
  <c r="R28" i="30" l="1"/>
  <c r="R24" i="30"/>
  <c r="R27" i="30"/>
  <c r="R26" i="30"/>
  <c r="Z9" i="41"/>
  <c r="AC7" i="41"/>
  <c r="AC9" i="41" s="1"/>
  <c r="L10" i="50" s="1"/>
  <c r="P9" i="41"/>
  <c r="K23" i="30" s="1"/>
  <c r="O23" i="30" s="1"/>
  <c r="R23" i="30" s="1"/>
  <c r="AL7" i="51"/>
  <c r="AL10" i="51" s="1"/>
  <c r="Z12" i="49"/>
  <c r="AC11" i="49"/>
  <c r="AC9" i="49"/>
  <c r="AG9" i="48"/>
  <c r="AK9" i="48" s="1"/>
  <c r="AL9" i="48" s="1"/>
  <c r="O15" i="48"/>
  <c r="P15" i="48" s="1"/>
  <c r="P17" i="48" s="1"/>
  <c r="J16" i="30" s="1"/>
  <c r="N16" i="30" s="1"/>
  <c r="O16" i="48"/>
  <c r="P16" i="48" s="1"/>
  <c r="V10" i="47"/>
  <c r="L14" i="30" s="1"/>
  <c r="P14" i="30" s="1"/>
  <c r="AF10" i="47"/>
  <c r="AG9" i="47"/>
  <c r="AE8" i="47"/>
  <c r="AE10" i="47" s="1"/>
  <c r="N15" i="47"/>
  <c r="N18" i="47" s="1"/>
  <c r="J14" i="30" s="1"/>
  <c r="N14" i="30" s="1"/>
  <c r="AD7" i="47"/>
  <c r="AB10" i="47"/>
  <c r="M14" i="30" s="1"/>
  <c r="Q14" i="30" s="1"/>
  <c r="AD8" i="47"/>
  <c r="AG8" i="47" s="1"/>
  <c r="AG7" i="47"/>
  <c r="R15" i="30"/>
  <c r="R13" i="30"/>
  <c r="AW8" i="35"/>
  <c r="P22" i="52"/>
  <c r="J19" i="30" s="1"/>
  <c r="N19" i="30" s="1"/>
  <c r="R19" i="30" s="1"/>
  <c r="P8" i="40"/>
  <c r="K21" i="30" s="1"/>
  <c r="O21" i="30" s="1"/>
  <c r="R21" i="30" s="1"/>
  <c r="BD16" i="52"/>
  <c r="F10" i="50" s="1"/>
  <c r="P17" i="51"/>
  <c r="J18" i="30" s="1"/>
  <c r="N18" i="30" s="1"/>
  <c r="R18" i="30" s="1"/>
  <c r="AC7" i="49"/>
  <c r="N15" i="49"/>
  <c r="P15" i="49" s="1"/>
  <c r="N16" i="49"/>
  <c r="P16" i="49" s="1"/>
  <c r="N17" i="49"/>
  <c r="P17" i="49" s="1"/>
  <c r="P12" i="49"/>
  <c r="N19" i="49"/>
  <c r="P19" i="49" s="1"/>
  <c r="AC12" i="49"/>
  <c r="AJ10" i="48"/>
  <c r="AG8" i="48"/>
  <c r="Z10" i="48"/>
  <c r="L16" i="30" s="1"/>
  <c r="P16" i="30" s="1"/>
  <c r="AU8" i="38"/>
  <c r="AW7" i="38"/>
  <c r="AW8" i="38" s="1"/>
  <c r="AQ29" i="36"/>
  <c r="AS11" i="36"/>
  <c r="AS29" i="36" s="1"/>
  <c r="F6" i="50" s="1"/>
  <c r="AE29" i="36"/>
  <c r="L12" i="30" s="1"/>
  <c r="P12" i="30" s="1"/>
  <c r="R12" i="30" s="1"/>
  <c r="BA8" i="33"/>
  <c r="M11" i="30" s="1"/>
  <c r="Q11" i="30" s="1"/>
  <c r="BD7" i="33"/>
  <c r="BD8" i="33" s="1"/>
  <c r="AP8" i="33"/>
  <c r="L11" i="30" s="1"/>
  <c r="P11" i="30" s="1"/>
  <c r="BE7" i="33"/>
  <c r="BE8" i="33" s="1"/>
  <c r="BC7" i="33"/>
  <c r="BC8" i="33" s="1"/>
  <c r="AV7" i="34"/>
  <c r="AX8" i="34"/>
  <c r="AX7" i="34"/>
  <c r="AX9" i="34"/>
  <c r="AX10" i="34"/>
  <c r="AU11" i="34"/>
  <c r="AW11" i="34"/>
  <c r="AA11" i="34"/>
  <c r="AV11" i="34"/>
  <c r="AS11" i="34"/>
  <c r="M10" i="30" s="1"/>
  <c r="Q10" i="30" s="1"/>
  <c r="R8" i="30"/>
  <c r="O22" i="30"/>
  <c r="S11" i="50"/>
  <c r="AC7" i="39"/>
  <c r="AC8" i="39" s="1"/>
  <c r="S9" i="50" s="1"/>
  <c r="Z8" i="54"/>
  <c r="Z8" i="39"/>
  <c r="G4" i="50" l="1"/>
  <c r="AG10" i="47"/>
  <c r="K14" i="30" s="1"/>
  <c r="O14" i="30" s="1"/>
  <c r="R14" i="30" s="1"/>
  <c r="AD10" i="47"/>
  <c r="AX8" i="35"/>
  <c r="AX9" i="35" s="1"/>
  <c r="S13" i="50" s="1"/>
  <c r="AW9" i="35"/>
  <c r="J25" i="30"/>
  <c r="N25" i="30" s="1"/>
  <c r="R25" i="30" s="1"/>
  <c r="P20" i="49"/>
  <c r="J17" i="30" s="1"/>
  <c r="N17" i="30" s="1"/>
  <c r="R17" i="30" s="1"/>
  <c r="AG10" i="48"/>
  <c r="M16" i="30" s="1"/>
  <c r="Q16" i="30" s="1"/>
  <c r="AK8" i="48"/>
  <c r="AX7" i="38"/>
  <c r="AX8" i="38" s="1"/>
  <c r="S6" i="50" s="1"/>
  <c r="V4" i="50" s="1"/>
  <c r="R11" i="30"/>
  <c r="BF7" i="33"/>
  <c r="BF8" i="33" s="1"/>
  <c r="P29" i="30"/>
  <c r="AX11" i="34"/>
  <c r="K10" i="30" s="1"/>
  <c r="O10" i="30" s="1"/>
  <c r="R22" i="30"/>
  <c r="R10" i="30" l="1"/>
  <c r="N29" i="30"/>
  <c r="AK10" i="48"/>
  <c r="AL8" i="48"/>
  <c r="AL10" i="48" s="1"/>
  <c r="K16" i="30" s="1"/>
  <c r="O16" i="30" s="1"/>
  <c r="R16" i="30" s="1"/>
  <c r="R29" i="30" s="1"/>
  <c r="Q29" i="30"/>
  <c r="C19" i="50"/>
  <c r="N4" i="50"/>
  <c r="C18" i="50"/>
  <c r="T15" i="50"/>
  <c r="K29" i="30" l="1"/>
  <c r="O29" i="30"/>
  <c r="D16" i="50"/>
</calcChain>
</file>

<file path=xl/comments1.xml><?xml version="1.0" encoding="utf-8"?>
<comments xmlns="http://schemas.openxmlformats.org/spreadsheetml/2006/main">
  <authors>
    <author>CALIDAD03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CALIDAD03:</t>
        </r>
        <r>
          <rPr>
            <sz val="9"/>
            <color indexed="81"/>
            <rFont val="Tahoma"/>
            <family val="2"/>
          </rPr>
          <t xml:space="preserve">
Meta del indicador &gt;=90%</t>
        </r>
      </text>
    </comment>
  </commentList>
</comments>
</file>

<file path=xl/sharedStrings.xml><?xml version="1.0" encoding="utf-8"?>
<sst xmlns="http://schemas.openxmlformats.org/spreadsheetml/2006/main" count="2780" uniqueCount="788">
  <si>
    <t>ESE HOSPITAL UNIVERSITARIO SAN RAFAEL DE TUNJA</t>
  </si>
  <si>
    <t>PILAR O EJE DE PLAN DE DESARROLLO</t>
  </si>
  <si>
    <t xml:space="preserve">PROGRAMA ESTRÁTEGICO </t>
  </si>
  <si>
    <t>OBJETIVO ESTRÁTEGICO</t>
  </si>
  <si>
    <t>META PERIODO</t>
  </si>
  <si>
    <t xml:space="preserve">META VIGENCIA </t>
  </si>
  <si>
    <t>NOMBRE INDICADOR</t>
  </si>
  <si>
    <t xml:space="preserve">INDICADOR / FÓRMULA </t>
  </si>
  <si>
    <t>META INDICADOR</t>
  </si>
  <si>
    <t xml:space="preserve">REPONSABLE </t>
  </si>
  <si>
    <t>RESULTADOS CUMPLIMIENTO POR TRIMESTRE</t>
  </si>
  <si>
    <t>AVANCES  SEGÚN  CUMPLIMIENTO DE META</t>
  </si>
  <si>
    <t>RESULTADO 1 ER TRIMESTRE</t>
  </si>
  <si>
    <t>RESULTADO 2 DO TRIMESTRE</t>
  </si>
  <si>
    <t>RESULTADO 3ER TRIMESTRE</t>
  </si>
  <si>
    <t>RESULTADO 4TO TRIMESTRE</t>
  </si>
  <si>
    <t xml:space="preserve">            
   1er TRIMESTRE</t>
  </si>
  <si>
    <t>2o  TRIMESTRE</t>
  </si>
  <si>
    <t xml:space="preserve"> 3er 
TRIMESTRE</t>
  </si>
  <si>
    <t xml:space="preserve"> 4o 
TRIMESTRE</t>
  </si>
  <si>
    <t>AVANCE ACUMULADO</t>
  </si>
  <si>
    <t>HUMANIZACIÓN DE LOS SERVICIOS SALUD</t>
  </si>
  <si>
    <t>Programa de Humanización que involucre la sensibilización del talento humano con enfoque tanto para cliente interno y externo.</t>
  </si>
  <si>
    <t>Humanizar la atención como cultura de servicio y buen trato al Usuario y su familia</t>
  </si>
  <si>
    <t>Programa de Humanización implementado cliente interno y externo</t>
  </si>
  <si>
    <t>Adherencia al buen trato (UCI´s, Hospitalización, Urgencias)</t>
  </si>
  <si>
    <t>Número de ítems de la lista que se cumple / Total de ítems evaluados en el mismo periodo</t>
  </si>
  <si>
    <t>Coordinador Humanización</t>
  </si>
  <si>
    <t>Cobertura del programa de espacios de esparcimiento  a colaboradores</t>
  </si>
  <si>
    <t>Número de áreas impactadas / Número Total de áreas</t>
  </si>
  <si>
    <t>Gestión y Seguimiento intrahospitalario y Pos Egreso</t>
  </si>
  <si>
    <t>Número de Llamadas de Seguimiento a los Pacientes y sus Familias / Total de pacientes registrados en el periodo</t>
  </si>
  <si>
    <t>Seguimiento a las Intervenciones de las acciones priorizadas</t>
  </si>
  <si>
    <t>Número de ítems intervenidos / Número de ítems que no se cumplen</t>
  </si>
  <si>
    <t>ATENCIÓN CENTRADA EN EL USUARIO</t>
  </si>
  <si>
    <t>Modelo de atención articulado con los procesos institucionales, generando una implementación oportuna, pertinente, segura e integral para el Usuario y su familia.</t>
  </si>
  <si>
    <t>Consolidar un modelo de gestión y de prestación integral en la atención, que genere valor para el usuario y su familia.</t>
  </si>
  <si>
    <t>Implementación, Evaluación y Cumplimiento del Modelo con enfoque de Atención Primaria en Salud.</t>
  </si>
  <si>
    <t>Cumplimiento Global del modelo Gestión Clínica</t>
  </si>
  <si>
    <t>Total Indicadores que Superan la Meta / Total Indicadores del Programa por Vigencia</t>
  </si>
  <si>
    <t>Coordinador Clinicas Quirúgicas</t>
  </si>
  <si>
    <t>Cumplimiento Global del modelo Gestión Quirúrgica</t>
  </si>
  <si>
    <t>Cumplimiento Global del modelo Gestión Urgencias</t>
  </si>
  <si>
    <t>Cumplimiento Global del modelo Gestión UCI Adultos</t>
  </si>
  <si>
    <t>Cumplimiento Global del modelo Gestión UCI Pediátrica</t>
  </si>
  <si>
    <t>Cumplimiento Global del modelo Gestión UCI Neonatal</t>
  </si>
  <si>
    <t>Cumplimiento Global del modelo Gestión Consulta Externa y Servicios de Apoyo</t>
  </si>
  <si>
    <t>Cumplimiento Global del modelo Sede María Josefa Canelones</t>
  </si>
  <si>
    <t>GESTIÓN CLINICA EXCELENTE Y SEGURA</t>
  </si>
  <si>
    <t>Programa Gestión y minimización de los riesgos asociados a la atención en salud.</t>
  </si>
  <si>
    <t>Apropiar el proceso de acreditación en salud en los procesos organizacionales para fortalecer su mejora y cumplimiento</t>
  </si>
  <si>
    <t>Resultado autoevaluación con respecto a la vigencia anterior</t>
  </si>
  <si>
    <t>Resultado de la comparación entre 1,11 y 1,19</t>
  </si>
  <si>
    <t>Programa de Seguridad del Paciente implementado bajo el enfoque de adaptación y mitigación de riesgos</t>
  </si>
  <si>
    <t xml:space="preserve">Coordinador Seguridad del Paciente </t>
  </si>
  <si>
    <t>GESTION DE SERVICIOS</t>
  </si>
  <si>
    <t>Fortalecer y ampliar la integralidad en la prestación de servicios de salud de alta complejidad, articulados con redes integradas de atención y comunidad.</t>
  </si>
  <si>
    <t>Programa integralidad de alta complejidad y seguimiento comunitario.</t>
  </si>
  <si>
    <t>Implementación y evaluación del Programa integralidad de alta complejidad y seguimiento comunitario.</t>
  </si>
  <si>
    <t>Proyecto unidad de cancerología - fase 1</t>
  </si>
  <si>
    <t>Programa de rehabilitación pulmonar</t>
  </si>
  <si>
    <t>Programa clínica de osteoporosis</t>
  </si>
  <si>
    <t>Programa clínica de obesidad</t>
  </si>
  <si>
    <t>Programa de pie diabético</t>
  </si>
  <si>
    <t>Programa hospital seguro contra la trombosis</t>
  </si>
  <si>
    <t>Programa clínica de anticoagulación</t>
  </si>
  <si>
    <t>Programa de donación de órganos</t>
  </si>
  <si>
    <t>Comité de bioética</t>
  </si>
  <si>
    <t>Laboratorio de pruebas de función pulmonar</t>
  </si>
  <si>
    <t>Programa de accesos vasculares</t>
  </si>
  <si>
    <t>Retinología</t>
  </si>
  <si>
    <t>Programa de extensión comunitaria</t>
  </si>
  <si>
    <t>Microcirugía</t>
  </si>
  <si>
    <t>Endocrinología pediátrica</t>
  </si>
  <si>
    <t>Neumología pediátrica</t>
  </si>
  <si>
    <t>Psiquiatría infantil</t>
  </si>
  <si>
    <t>GESTIÓN DEL RIESGO</t>
  </si>
  <si>
    <t>Garantizar la gestión de los recursos que contribuyan a la competitividad y sostenibilidad de la organización.</t>
  </si>
  <si>
    <t>Programa de gestión institucional de los recursos financieros (PEGIF)</t>
  </si>
  <si>
    <t>Cumplimiento del Programa de Gestión Institucional de los Recursos Financieros</t>
  </si>
  <si>
    <t>Cumplimiento del programa de gestión institucional de los recursos financieros</t>
  </si>
  <si>
    <t>Coordinador Financiero</t>
  </si>
  <si>
    <t>Programa Gestión de Sistema de Costos</t>
  </si>
  <si>
    <t>Cumplimiento del Programa Gestión de Sistema de Costos</t>
  </si>
  <si>
    <t>Cumplimiento del Programa de Costos</t>
  </si>
  <si>
    <t>Fortalecimiento de la gestión del riesgo y prevención del daño antijurídico de la entidad</t>
  </si>
  <si>
    <t>Cumplimiento del programa de prevención del daño antijurídico</t>
  </si>
  <si>
    <t xml:space="preserve">No Adherencia a guías y /o protocolos </t>
  </si>
  <si>
    <t>Número de demandas asociadas a lo No Adherencia a las guías de manejo clínico  / Número total de demandas presentadas en la vigencia</t>
  </si>
  <si>
    <t>Asesor Jurídico</t>
  </si>
  <si>
    <t>Eventos Adversos</t>
  </si>
  <si>
    <t>Número de demandas asociadas a eventos adversos / Número total de demandas presentadas en la vigencia</t>
  </si>
  <si>
    <t>No reconocimiento de los derechos laborales por el tipo de vinculación laboral o contractual</t>
  </si>
  <si>
    <t>Número de demandas interpuestas por derechos laborales / Número total de demandas presentadas en la vigencia</t>
  </si>
  <si>
    <t>Programa de Gestión y Desempeño Institucional</t>
  </si>
  <si>
    <t>Índice de Desempeño Institucional</t>
  </si>
  <si>
    <t>&gt; Resultado año anterior</t>
  </si>
  <si>
    <t>Índice de Desempeño</t>
  </si>
  <si>
    <t>Mayor al Índice de Desempeño del año anterior</t>
  </si>
  <si>
    <t>Profesional de Planeación</t>
  </si>
  <si>
    <t>N/A</t>
  </si>
  <si>
    <t>GESTIÓN DE TECNOLOGIA PARA LA PRESTACION DE SERVICIOS DE SALUD HUMANIZADOS Y SEGUROS</t>
  </si>
  <si>
    <t>Fortalecer la gestión tecnológica.</t>
  </si>
  <si>
    <t>Programa de gestión de integración del sistema de información.</t>
  </si>
  <si>
    <t>Cumplimiento del Programa de integración del sistema de información</t>
  </si>
  <si>
    <t>Proyectos TI Implementados</t>
  </si>
  <si>
    <t xml:space="preserve">Número de proyectos ejecutados en a vigencia y que corresponden al periodo de medición según lo planeado / Número Total de proyectos planeados a ejecutar en la vigencia </t>
  </si>
  <si>
    <t>Coordinador TIC´s</t>
  </si>
  <si>
    <t>Cumplimiento de Actividades del Programa</t>
  </si>
  <si>
    <t xml:space="preserve">Número de actividades ejecutadas en la vigencia y que corresponden al periodo de medición según lo planeado / Número Total de actividades planeadas a ejecutar en la vigencia </t>
  </si>
  <si>
    <t xml:space="preserve">Integraciones Realizadas </t>
  </si>
  <si>
    <t xml:space="preserve">Número de integraciones mayor o igual a uno (1) en la vigencia </t>
  </si>
  <si>
    <t>&gt;= 1</t>
  </si>
  <si>
    <t>Programa de adecuación y mejoramiento de infraestructura física</t>
  </si>
  <si>
    <t>Cumplimiento del Programa de Construcción, adecuación y/o mejoramiento infraestructura física</t>
  </si>
  <si>
    <t>Ejecución de Actividades de mantenimiento correctivo</t>
  </si>
  <si>
    <t>Número de actividades ejecutadas / Número de actividades solicitadas</t>
  </si>
  <si>
    <t>Coordinador de Mantenimiento</t>
  </si>
  <si>
    <t>Ejecución de Actividades de mantenimiento preventivo</t>
  </si>
  <si>
    <t>Número de actividades ejecutadas del plan de mantenimiento / Número de actividades programadas</t>
  </si>
  <si>
    <t>Porcentaje avance obra (Construcción)</t>
  </si>
  <si>
    <t>Avance real / Avance proyectado</t>
  </si>
  <si>
    <t>Porcentaje avance obra (Adecuación)</t>
  </si>
  <si>
    <t>Porcentaje avance obra (Mejoramiento)</t>
  </si>
  <si>
    <t>Programa de Gestión Tecnológica
y Dotación hospitalaria</t>
  </si>
  <si>
    <t>Cumplimiento del Programa de
Gestión de tecnología y dotación
Hospitalaria.</t>
  </si>
  <si>
    <t xml:space="preserve"> Disminución de Mantenimientos Correctivos Implementando las Listas de Chequeo Diarias</t>
  </si>
  <si>
    <t>Mantenimientos Correctivos /  Mantenimientos Predictivos</t>
  </si>
  <si>
    <t>≤50%</t>
  </si>
  <si>
    <t>Coordinador Biomédica</t>
  </si>
  <si>
    <t>Gestión de Dotación Hospitalaria</t>
  </si>
  <si>
    <t xml:space="preserve">Número de dotación hospitalaria gestionado ante comité Directivo / Número de dotación hospitalaria aprobada para adquisición </t>
  </si>
  <si>
    <t>&gt;=80%</t>
  </si>
  <si>
    <t>Gestión de tecnología Biomédica</t>
  </si>
  <si>
    <t xml:space="preserve">Número de equipos gestionados ante comité Directivo  / Número de equipos aprobados para adquisición   </t>
  </si>
  <si>
    <t>TRANSFORMACIÓN CULTURAL
PERMANENTE.</t>
  </si>
  <si>
    <t>Generar líneas de desarrollo humano que impacten en la calidad de la atención del usuario y su familia.</t>
  </si>
  <si>
    <t>Programa de Gestión integral y
bienestar del talento humano que
impacten en la calidad de la
atención del usuario y su familia.</t>
  </si>
  <si>
    <t>Cumplimiento Programa de
Gestión Integral y Bienestar del
Talento Humano que impacten en
la calidad de la atención del
usuario y su familia.</t>
  </si>
  <si>
    <t xml:space="preserve">Cumplimiento Programa de Gestión Integral y Bienestar de Talento Humano </t>
  </si>
  <si>
    <t xml:space="preserve">Promedio porcentual de cumplimiento de indicadores / Total de indicadores del Programa </t>
  </si>
  <si>
    <t>&gt;=90%</t>
  </si>
  <si>
    <t>Coordinador Actividades Talento Humano</t>
  </si>
  <si>
    <t>Estrategia “Construyendo en Familia para Trabajar con el Alma”</t>
  </si>
  <si>
    <t>Número de colaboradores asistentes a los proceso formativos  / Total de colaboradors que confirme participación</t>
  </si>
  <si>
    <t>RESPONSABILIDAD
SOCIAL</t>
  </si>
  <si>
    <t>Asegurar la competitividad
y posicionamiento de la
institución</t>
  </si>
  <si>
    <t>Sistema de Gestion Ambiental</t>
  </si>
  <si>
    <t>Cumplimiento de los requisitos de
la norma ISO 14001:2015</t>
  </si>
  <si>
    <t>Mantener la Certificación</t>
  </si>
  <si>
    <t>Certificado ISO 14001:2015</t>
  </si>
  <si>
    <t>Coordinador Gestión Ambiental</t>
  </si>
  <si>
    <t>Sistema de Gestión en Seguridad
y Salud en el Trabajo</t>
  </si>
  <si>
    <t>Cumplimiento de los requisitos de
la norma ISO 45001:2018</t>
  </si>
  <si>
    <t>Obetner la Certificación</t>
  </si>
  <si>
    <t>Certificado ISO 45001:2015</t>
  </si>
  <si>
    <t>Coordinador  Seguridad y Salud en el Trabajo</t>
  </si>
  <si>
    <t>Sistema de Gestión de la Calidad</t>
  </si>
  <si>
    <t>Cumplimiento de los requisitos de
la norma ISO 9001:2015</t>
  </si>
  <si>
    <t>Certificado ISO 9001:2015</t>
  </si>
  <si>
    <t>Coordinador Calidad</t>
  </si>
  <si>
    <t>Buenas practicas de elaboración</t>
  </si>
  <si>
    <t>Cumplimiento de requisitos de
Buenas practicas de elaboración</t>
  </si>
  <si>
    <t>Certificado BPE</t>
  </si>
  <si>
    <t>Coordinador Farmacia</t>
  </si>
  <si>
    <t>Cumplimiento de requisitos de
Buenas practicas de manufactura</t>
  </si>
  <si>
    <t>Certificado BPM</t>
  </si>
  <si>
    <t>GESTIÓN DEL CONOCIMIENTO E INNOVACIÓN</t>
  </si>
  <si>
    <t>Contribuir a la consolidación de Hospital Universitario mediante la  estión del conocimiento, innovación y desarrollo comunitario.</t>
  </si>
  <si>
    <t>Proyectos de investigación competitiva a nivel regional y Nacional impactando
positivamente el Fortalecimiento de la E.S.E Hospital Universitario San Rafael De Tunja y su zona de influencia.</t>
  </si>
  <si>
    <t>Cumplimiento de Programa de
Investigación, Docencia e
Innovación</t>
  </si>
  <si>
    <t>Productos de investigación para someter a revista</t>
  </si>
  <si>
    <t xml:space="preserve">Número de proyectos para someterse a revista  / Número de proyectos aprobados por comité </t>
  </si>
  <si>
    <t>Incremento 1% anual</t>
  </si>
  <si>
    <t>Coordinador Gestión Académica</t>
  </si>
  <si>
    <t xml:space="preserve">Satisfacción del personal en formación internado </t>
  </si>
  <si>
    <t>Número de estudiantes satisfechos  / Total de estudiantes que diligencian la encuesta</t>
  </si>
  <si>
    <t>Adherencia a los Syllabus de rotación</t>
  </si>
  <si>
    <t xml:space="preserve">Número de temas revisados en los Syllabus de rotación    / Número total de temas planteados en los Syllabus de rotación </t>
  </si>
  <si>
    <t>Adherencia a programación de turnos o planes de programación</t>
  </si>
  <si>
    <t>Número de planes o programas  /  Total de especialidades en los que rotan internos</t>
  </si>
  <si>
    <t>Fortalecer líneas de investigación institucional</t>
  </si>
  <si>
    <t>Implementación de las líneas de
investigación</t>
  </si>
  <si>
    <t>Realizar eventos de asistencia masiva en actividades como simposios y  congresos</t>
  </si>
  <si>
    <t>Numero de Congresos</t>
  </si>
  <si>
    <t>Congresos por vigencia</t>
  </si>
  <si>
    <t>Numero de Congresos en la vigencia</t>
  </si>
  <si>
    <t>Desarrollar alianzas estratégicas que permitan fortalecer las líneas de investigación de los grupos de
investigación.</t>
  </si>
  <si>
    <t>Numero de Alianzas estratégicas
consolidadas</t>
  </si>
  <si>
    <t>Numero de Alianzas estratégicas
consolidadas por vigencia</t>
  </si>
  <si>
    <t xml:space="preserve">Numero de Alianzas estratégicas  en la vigencia </t>
  </si>
  <si>
    <t>PLAN OPERATIVO INSTITUCIONAL</t>
  </si>
  <si>
    <t>CODIGO: OADS-F-03</t>
  </si>
  <si>
    <t>INICIO</t>
  </si>
  <si>
    <t>LÍNEA ESTRÁTEGICA</t>
  </si>
  <si>
    <t>PROGRAMAS  ESTRÁTEGICO</t>
  </si>
  <si>
    <t>ACTIVIDADES</t>
  </si>
  <si>
    <t>OBSERVACIONES</t>
  </si>
  <si>
    <t>AVANCE                1 TRIMESTRE</t>
  </si>
  <si>
    <t>AVANCE 2  TRIMESTRE</t>
  </si>
  <si>
    <t>AVANCE 3 TRIMESTRE</t>
  </si>
  <si>
    <t>AVANCE   4 TRIMESTRE</t>
  </si>
  <si>
    <t>Observaciones 1 Trimestre</t>
  </si>
  <si>
    <t>Observaciones 2 Trimestre</t>
  </si>
  <si>
    <t>Observaciones 3 Trimestre</t>
  </si>
  <si>
    <t>Observaciones 4 Trimestre</t>
  </si>
  <si>
    <t>Humanización de los Servicios de Salud</t>
  </si>
  <si>
    <t>Humanizar la atención      como cultura de servicio y buen trato al Usuario y su familia</t>
  </si>
  <si>
    <t>Fortalecimiento de la cultura de servicio y buen trato a través de la implementación del programa de humanización de los servicios ofertados por el HUSRT.</t>
  </si>
  <si>
    <t>Programa de Humanización  que involucre la sensibilización del talento humano con enfoque tanto para cliente interno y externo.</t>
  </si>
  <si>
    <t>Socializar, implementar y evaluar el programa de humanización del servicio.</t>
  </si>
  <si>
    <t>Total Indicadores que cumplen la Meta / Total Indicadores del Programa por Vigencia</t>
  </si>
  <si>
    <t>Consolidar un  manejo integral del usuario y su familia, desde su promoción, prevención, tratamiento, rehabilitación de alta complejidad y seguimiento  comunitario.</t>
  </si>
  <si>
    <t>Diseñar implementar y evaluar Programa integralidad de alta complejidad y  seguimiento comunitario.</t>
  </si>
  <si>
    <t>Fortalecimiento del Sistema Obligatorio de Garantía de Calidad en Salud.</t>
  </si>
  <si>
    <t>Mejora y fortalecimiento en los procesos administrativos y asistenciales, que incluyan la eficacia y eficiencia en los mismos minimizando  el daño  antijurídico.</t>
  </si>
  <si>
    <t xml:space="preserve">Programa de gestión institucional de los recursos financieros (PEGIF) </t>
  </si>
  <si>
    <t xml:space="preserve">
Programa de Gestión y Desempeño Institucional</t>
  </si>
  <si>
    <t>Implementar el Modelo Integrado  de Planeación y Gestión - MIPG.</t>
  </si>
  <si>
    <t>RESPONSABILIDAD SOCIAL</t>
  </si>
  <si>
    <t>Sistema de Gestión en Seguridad y  Salud en el Trabajo</t>
  </si>
  <si>
    <t>Mantener la certificación en el cumplimiento de la   norma  ISO 14001:2015 Sistema de Gestión Ambiental</t>
  </si>
  <si>
    <t xml:space="preserve">Ampliar la certificación en Buenas practicas de elaboración </t>
  </si>
  <si>
    <t>UCI ADULTOS</t>
  </si>
  <si>
    <t>UCI PEDIATRICA</t>
  </si>
  <si>
    <t>NA</t>
  </si>
  <si>
    <t xml:space="preserve"> FÓRMULA </t>
  </si>
  <si>
    <t>INDICADOR</t>
  </si>
  <si>
    <t>CARTERA</t>
  </si>
  <si>
    <t>FACTURACION</t>
  </si>
  <si>
    <t xml:space="preserve">META VIGENCIA 2021 </t>
  </si>
  <si>
    <t>URGENCIAS</t>
  </si>
  <si>
    <t>HOSPITALIZACION</t>
  </si>
  <si>
    <t>No.</t>
  </si>
  <si>
    <t>ACTIVIDAD</t>
  </si>
  <si>
    <t>PROCESO</t>
  </si>
  <si>
    <t>GESTION DIRECCIONAMIENTO ESTRATEGICO Y HUMANIZACION</t>
  </si>
  <si>
    <t>X</t>
  </si>
  <si>
    <t xml:space="preserve">GESTIÓN DE TALENTO </t>
  </si>
  <si>
    <t>GESTIÓN QHSE</t>
  </si>
  <si>
    <t>EPIDEMIOLOGIA Y SALUD PUBLICA</t>
  </si>
  <si>
    <t>ATENCIÓN URGENCIAS</t>
  </si>
  <si>
    <t>ENFERMERIA</t>
  </si>
  <si>
    <t>GESTION FARMACEUTICA</t>
  </si>
  <si>
    <t>APOYO SERVICIOS DE SALUD</t>
  </si>
  <si>
    <t>GESTION QUIRURGICA</t>
  </si>
  <si>
    <t>SIAU</t>
  </si>
  <si>
    <t>GESTION CLINICA</t>
  </si>
  <si>
    <t>UNIDAD DE CUIDADO INTENSIVO ADULTO</t>
  </si>
  <si>
    <t>UNIDAD DE CUIDADO INTENSIVO PEDIATRICO</t>
  </si>
  <si>
    <t>UNIDAD DE CUIDADO INTENSIVO NEONATAL</t>
  </si>
  <si>
    <t>GESTIÓN CONTRATACIÓN</t>
  </si>
  <si>
    <t>GESTIÓN ADMINISTRATIVA</t>
  </si>
  <si>
    <t xml:space="preserve">AUDITORIA CUENTAS </t>
  </si>
  <si>
    <t>GESTIÓN FINANCIERA</t>
  </si>
  <si>
    <t>GESTIÓN DOCUMENTAL</t>
  </si>
  <si>
    <t>GESTIÓN DE SISTEMAS DE INFORMACIÓN Y COMUNICACIONES</t>
  </si>
  <si>
    <t>GESTIÓN TECNOLOGICA</t>
  </si>
  <si>
    <t>GESTIÓN JURIDICA</t>
  </si>
  <si>
    <t>GESTIÓN DE MANTENIMIENTO</t>
  </si>
  <si>
    <t>GESTIÓN DE SUMINISTROS Y ACTIVOS FIJOS</t>
  </si>
  <si>
    <t>GESTIÓN SERVICIOS DE APOYO</t>
  </si>
  <si>
    <t>A1</t>
  </si>
  <si>
    <t>A2</t>
  </si>
  <si>
    <t>A3</t>
  </si>
  <si>
    <t>A4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</si>
  <si>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</si>
  <si>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</si>
  <si>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</si>
  <si>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</si>
  <si>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</si>
  <si>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</si>
  <si>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</si>
  <si>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</si>
  <si>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</si>
  <si>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</si>
  <si>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</si>
  <si>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</si>
  <si>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</si>
  <si>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</si>
  <si>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</si>
  <si>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</si>
  <si>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</si>
  <si>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CALIDAD</t>
  </si>
  <si>
    <t>SST</t>
  </si>
  <si>
    <t>SGA</t>
  </si>
  <si>
    <t>GESTIÓN DE INVESTIGACIÓN E INNOVACIÓN DE CALIDAD</t>
  </si>
  <si>
    <t>RESULTADO 3er TRIMESTRE</t>
  </si>
  <si>
    <t>RESULTADO 4o TRIMESTRE</t>
  </si>
  <si>
    <t>UCI NEONATAL</t>
  </si>
  <si>
    <t>PROMEDIO 2o TRIMESTRE</t>
  </si>
  <si>
    <t>PROMEDIO 3er TRIMESTRE</t>
  </si>
  <si>
    <t>PROMEDIO 4o TRIMESTRE</t>
  </si>
  <si>
    <t>PROMEDIO TRIMESTRAL CUMPLIMIENTO POR PROCESO</t>
  </si>
  <si>
    <t>PORCENTAJE AVANCE ANUAL</t>
  </si>
  <si>
    <t>Resultado SegundoTrimestre</t>
  </si>
  <si>
    <t>Resultado Tercer Trimestre</t>
  </si>
  <si>
    <t>Resultado  Cuarto Trimestre</t>
  </si>
  <si>
    <t>RESULTADO 2do TRIMESTRE</t>
  </si>
  <si>
    <t>Gestion Clínica</t>
  </si>
  <si>
    <t>SERVICIOS APOYO SALUD</t>
  </si>
  <si>
    <t>MARIA JOSEFA CANELONES</t>
  </si>
  <si>
    <t>Implementación, Evaluación y Cumplimiento del Modelo con enfoque de Atención Primaria en Salud.Programa integralidad de alta complejidad y seguimiento  comunitario.</t>
  </si>
  <si>
    <t>Cumplimiento Global del Programa de Alta Complejidad</t>
  </si>
  <si>
    <t>Promedio resultado de cumplimiento de indicadores del programa</t>
  </si>
  <si>
    <t xml:space="preserve">
Apropiar el proceso de acreditación en salud en  los procesos organizacionales para fortalecer su mejora y cumplimiento</t>
  </si>
  <si>
    <t>Programa  Gestión y minimización de los riesgos asociados a la atención en sa</t>
  </si>
  <si>
    <t>Fortalecer la  implementación del proceso de acreditación frente al  despliegue y aplicación del enfoque y extensión a los clientes  interno y externo.</t>
  </si>
  <si>
    <t>Resultado vigencia actual / Resultado vigencia anterior</t>
  </si>
  <si>
    <t>Resultado de la comparación  entre
 1,11  y 1,19</t>
  </si>
  <si>
    <t>entre
 1,11  y 1,19</t>
  </si>
  <si>
    <t>Gerencia</t>
  </si>
  <si>
    <t>Direcconamiento Estratégico</t>
  </si>
  <si>
    <t>Gestión Talento Humano</t>
  </si>
  <si>
    <t>Gestión de la Información</t>
  </si>
  <si>
    <t>Ambiente Fisico</t>
  </si>
  <si>
    <t>Mejoramiento Continuo</t>
  </si>
  <si>
    <t>Cliente Asistencial</t>
  </si>
  <si>
    <t>entre 1,11 y 1,19</t>
  </si>
  <si>
    <t xml:space="preserve">Garantizar la  gestión de los recursos  que contribuyan a la competitividad y sostenibilidad de la organización. </t>
  </si>
  <si>
    <t>RESULTADO 4to TRIMESTRE</t>
  </si>
  <si>
    <t>Resultado Segundo Trimestre</t>
  </si>
  <si>
    <t>CUMPLIMIENTO DEL PROGRAMA  DE COSTOS</t>
  </si>
  <si>
    <t>total indicadores que superan la meta/total indicadores del programa por vigencia</t>
  </si>
  <si>
    <t>PROMEDIO 4to TRIMESTRE</t>
  </si>
  <si>
    <t>Gestión Financiera</t>
  </si>
  <si>
    <t>Medición Desempeño</t>
  </si>
  <si>
    <t>Direccionamiento Estratégico y Humanización</t>
  </si>
  <si>
    <t xml:space="preserve">Gestión de Investigación e Innovación </t>
  </si>
  <si>
    <t>Gestión Documental</t>
  </si>
  <si>
    <t>Gestión Sistema de Información y Comunicaciones</t>
  </si>
  <si>
    <t>Gestión Jurídica</t>
  </si>
  <si>
    <t xml:space="preserve">
Asegurar la competitividad y posicionamiento de la institución </t>
  </si>
  <si>
    <t>Fortalecimiento de  estrategias de responsabilidad social y conservación del medio ambiente</t>
  </si>
  <si>
    <t xml:space="preserve"> Cumplimiento de los requisitos de la norma  ISO 14001:2015
</t>
  </si>
  <si>
    <t>Sistema Gestión Ambiental</t>
  </si>
  <si>
    <t>Gestión Farmaceútica</t>
  </si>
  <si>
    <t>Asegurar la transición   de  la norma  OHSAS 18001:2007 a la norma  ISO 45001:2018 Seguridad y Salud en el Trabajo</t>
  </si>
  <si>
    <t xml:space="preserve"> Cumplimiento de los requisitos de la norma  ISO 45001:2018
</t>
  </si>
  <si>
    <t>Sitema Seguridad y Salud en el Trabajo</t>
  </si>
  <si>
    <t xml:space="preserve"> Cumplimiento de requisitos de Buenas practicas de elaboración</t>
  </si>
  <si>
    <t>Mantener las Buenas practicas de manufactura</t>
  </si>
  <si>
    <t xml:space="preserve">
Contribuir a la consolidación de Hospital Universitario mediante la gestión del conocimiento, innovación y desarrollo comunitario</t>
  </si>
  <si>
    <t>Fomentar la generación de conocimiento y la innovación aplicada al proceso de atención en salud</t>
  </si>
  <si>
    <t>Proyectos de investigación competitiva a nivel regional y Nacional impactando positivamente el Fortalecimiento de la E.S.E  Hospital Universitario San Rafael De Tunja y su zona de influencia</t>
  </si>
  <si>
    <t>Rediseñar , Socializar, Implementar y evaluar el Programa de investigación, Docencia e Innovación Fortalecer  líneas de investigación institucional,Realizar eventos de asistencia masiva en actividades como simposios y congresos,Desarrollar  alianzas estratégicas que permitan fortalecer  las líneas de investigación de los grupos de investigación.</t>
  </si>
  <si>
    <t>Número de estudiantes satisfechos / Total de estudiantes que diligenciaron la encuesta</t>
  </si>
  <si>
    <t>Número proyectos para someter a revista / Número de proyectos aprobados por comité</t>
  </si>
  <si>
    <t xml:space="preserve">Productos de Investigación para Someter a Revista </t>
  </si>
  <si>
    <t>Número de congresos realizados en el periodo</t>
  </si>
  <si>
    <t>Congresos ejecutados</t>
  </si>
  <si>
    <t>Alianza formalizada</t>
  </si>
  <si>
    <t>Número de Alianzas estratégicas consolidadas en el periodo</t>
  </si>
  <si>
    <t>Diseñar , socializar e implementar el programa prevención del daño antijurídico de la entidad.</t>
  </si>
  <si>
    <t>Evaluación del impacto jurídico respecto de la no adherencia a guías de manejo clínico</t>
  </si>
  <si>
    <t>Evaluación del impacto jurídico respecto de la no adherencia a protocolos que generen eventos adversos</t>
  </si>
  <si>
    <t>PLAN OPERATIVO POR PROCESOS Y/O SERVICIOS</t>
  </si>
  <si>
    <t>GESTION DE TECNOLOGIA PARA LA PRESTACION DE SERVICIOS DE SALUD HUMANIZADOS Y SEGUROS</t>
  </si>
  <si>
    <t>Fortalecer la gestion tecnologica</t>
  </si>
  <si>
    <t xml:space="preserve">fortalecer la tecnologia según la capacidad instalada que permita mantener  los mas altos estandares en servicios </t>
  </si>
  <si>
    <t>progama de gestion de integracion de sistemas de informacion</t>
  </si>
  <si>
    <t>Fortalecer la gestión de la información de manera que asegure la continuidad en la prestación de servicios, la toma de decisiones basada en hechos y datos y facilite la articulación de la información de las instituciones integradas en red.</t>
  </si>
  <si>
    <t>&gt;=1</t>
  </si>
  <si>
    <t>Cumplimiento de actividades del programa integración del sistema de información</t>
  </si>
  <si>
    <t>Cumplimiento proyectos TI</t>
  </si>
  <si>
    <t>Actividades programadas en la vigencia / Actividades ejecutadas en la vigencia</t>
  </si>
  <si>
    <t>Número de integraciones ejecutadas en la vigencia / Número de integraciones planeadas a ejecutar en la vigencia</t>
  </si>
  <si>
    <t>Número de proyectos ejecujtados en la vigencia y que corresponden al periodo de medicion segun lo planeado / Número total de proyectos planeados a ejecutar en la vigencia</t>
  </si>
  <si>
    <t>Líder Sistemas de Información</t>
  </si>
  <si>
    <t>Cumplimiento del  Programa de integración del sistema de información</t>
  </si>
  <si>
    <t>Porcentaje de cumplimiento del Programa</t>
  </si>
  <si>
    <t xml:space="preserve">
Construcción, adecuación y/o mejoramiento de las condiciones de infraestructura del HUSRT
</t>
  </si>
  <si>
    <t>Porcentaje global de cumplimiento del modelo de atención en la institución</t>
  </si>
  <si>
    <t>Porcentaje global de cumplimiento delPrograma de Alta Complejidad</t>
  </si>
  <si>
    <t>SUBGERENCIA ADMINISTRATIVA Y FINANCIERA</t>
  </si>
  <si>
    <t>SUBGERENCIA DE SERVICIOS DE SALUD</t>
  </si>
  <si>
    <t>OFICINA ASESORA DE DESARROLLO DE SERVICIOS</t>
  </si>
  <si>
    <t xml:space="preserve">TOTAL  POAS: </t>
  </si>
  <si>
    <t xml:space="preserve">SAF: </t>
  </si>
  <si>
    <t xml:space="preserve">SSS: </t>
  </si>
  <si>
    <t xml:space="preserve">OADS: </t>
  </si>
  <si>
    <t>PLAN OPERATIVO ANUAL 2021</t>
  </si>
  <si>
    <t xml:space="preserve">Fortalecer la tecnologia según la capacidad instalada que permita mantener  los mas altos estandares en servicios </t>
  </si>
  <si>
    <t>Programa de adecuacion y mejoramiento de infraestructura fisica</t>
  </si>
  <si>
    <t>% Avance real / % Avance proyectado</t>
  </si>
  <si>
    <t>Porcentaje avance de obra (Mejoramiento)</t>
  </si>
  <si>
    <t>Porcentaje avance de obra (Construcción)</t>
  </si>
  <si>
    <t>Porcentaje avance de obra (Adecuación)</t>
  </si>
  <si>
    <t>Coordinador Mantenimiento</t>
  </si>
  <si>
    <t>GESTIÓN MANTENIMIENTO</t>
  </si>
  <si>
    <t>AVANCE 1 TRIMESTRE</t>
  </si>
  <si>
    <t>,</t>
  </si>
  <si>
    <t>Cumplimiento del  Programa de Construcción, adecuación y/o mejoramiento infraestructura física</t>
  </si>
  <si>
    <t>programa de gestion tecnologica y dotacion hospitalaria</t>
  </si>
  <si>
    <t>Fortalecer  la dotación de equipos biomédicos, industriales y de soporte asistencial de alta complejidad y en condiciones de seguridad para el paciente, el usuario y el entorno.</t>
  </si>
  <si>
    <t>Actividades de mantenimiento correctivo</t>
  </si>
  <si>
    <t>Número de mantenimientos correctivos ejecutados / Número de actividades solicitados</t>
  </si>
  <si>
    <t>&gt;90%</t>
  </si>
  <si>
    <t>Actividades de mantenimiento preventivo</t>
  </si>
  <si>
    <t>Coordinador Biómedica</t>
  </si>
  <si>
    <t>Gestión tecnología Biomédica</t>
  </si>
  <si>
    <t>Número de equipos gestionados ante comité directivo / Número de equipos aprobados para adquisicion</t>
  </si>
  <si>
    <t>Gestión de dotación Hospitalaria</t>
  </si>
  <si>
    <t xml:space="preserve">Número de dotación hospitalaria  Gestionados ante comité directivo / Número de dotación hospitalaria aprobada para adquisición </t>
  </si>
  <si>
    <t>Disminución de Mantenimientos Correctivos Implementando las Listas de Chequeo Diarias</t>
  </si>
  <si>
    <t>GESTIÓN TECNOLÓGICA</t>
  </si>
  <si>
    <t>SISTEMAS</t>
  </si>
  <si>
    <t>GESTIÓN SUMINISTROS Y ACTIVOS FIJOS</t>
  </si>
  <si>
    <t xml:space="preserve">TRANSFORMACIÓN CULTURAL PERMANENTE. </t>
  </si>
  <si>
    <t xml:space="preserve">Generar líneas de desarrollo humano  que impacten en la  calidad de la  atención del usuario y su familia. </t>
  </si>
  <si>
    <t xml:space="preserve">Fortalecer el  desarrollo Humano y bienestar. </t>
  </si>
  <si>
    <t xml:space="preserve">Programa de Gestión integral y bienestar del talento humano  que impacten en la  calidad de la  atención del usuario y su familia. </t>
  </si>
  <si>
    <t xml:space="preserve">Rediseñar , Socializar, Implementar y evaluar el Programa de Gestión integral y bienestar del talento humano  que impacten en la  calidad de la  atención del usuario y su familia. </t>
  </si>
  <si>
    <t>GESTIÓN DEL TALENTO HUMANO</t>
  </si>
  <si>
    <t xml:space="preserve">No. De personas certificadas en la norma definida / Total de personas  programadas para certificar en la norma de competencia </t>
  </si>
  <si>
    <t>% de satisfacción del desarrollo de los programas contenidos en el PEGITH</t>
  </si>
  <si>
    <t xml:space="preserve">% de personal certificado en la norma de competencias  definida </t>
  </si>
  <si>
    <t>Sumatoria de respuestas positivas / Número total de preguntas</t>
  </si>
  <si>
    <t>% Cobertura del plan de capacitación institucional personal de planta</t>
  </si>
  <si>
    <t xml:space="preserve">Número de trabajadores de planta participantes en las actividades de capacitación 
programadas en el período
/ Número total de trabajadores de planta programados </t>
  </si>
  <si>
    <t>% Cobertura del plan de bienestar del personal de planta</t>
  </si>
  <si>
    <t>Número de trabajadores de planta participantes en las actividades de bienestar programadas en el período / Número total de trabajadores de planta programados</t>
  </si>
  <si>
    <t>% de cumplimiento actividades de capacitación</t>
  </si>
  <si>
    <t>Número de actividades ejecutadas en el período / Número total de actividades programadas</t>
  </si>
  <si>
    <t>% de cumplimiento actividades de bienestar</t>
  </si>
  <si>
    <t>Situaciones Administrativas</t>
  </si>
  <si>
    <t>Total situaciones administrativas atendidas en términos / Total situaciones administrativas recibidas o a gestionar en el período</t>
  </si>
  <si>
    <t>Transformación cultural</t>
  </si>
  <si>
    <t>Cumplimiento estrategia construyendo en familia para trabajar con el alma</t>
  </si>
  <si>
    <t>Número de colaboradores asistentes a los procesos formativos / Total de colaboradores que confirmen participación</t>
  </si>
  <si>
    <t>Coordinador actividades Talento Humano</t>
  </si>
  <si>
    <t>Cumplimiento del  Programa de Gestión de tecnología y dotación Hospitalaria.</t>
  </si>
  <si>
    <t>Cumplimiento del  Programa  de Investigación, Docencia e
Innovación</t>
  </si>
  <si>
    <t>Porcentaje global de cumplimiento del Programa de Investigación, Docencia e
Innovación</t>
  </si>
  <si>
    <t>Líder PAMEC</t>
  </si>
  <si>
    <t>Cumplimiento Programa de Humanización implementado cliente interno y externo</t>
  </si>
  <si>
    <t>Programa  de adecuación y mejoramiento de infraestructura física</t>
  </si>
  <si>
    <t xml:space="preserve">Programa de Seguridad del Paciente bajo el enfoque de adaptación y mitigación de riesgos  </t>
  </si>
  <si>
    <t>Programa integralidad de alta complejidad y seguimiento  comunitario.</t>
  </si>
  <si>
    <t xml:space="preserve"> 2do TRIMESTRE</t>
  </si>
  <si>
    <t>Programa de Gestión de tecnología y  dotación Hospitalaria.</t>
  </si>
  <si>
    <t xml:space="preserve"> Cumplimiento de los requisitos de la norma  ISO 45001:2018</t>
  </si>
  <si>
    <t>Cumplimiento de los requisitos de la norma   ISO 9001:2015</t>
  </si>
  <si>
    <t xml:space="preserve">Programa de  integración del sistema de información </t>
  </si>
  <si>
    <t>Número de temas revisados  / Número de temas planteados</t>
  </si>
  <si>
    <t>Satisfacción del Personal en Formación Internado DOCENCIA-SERVICIO</t>
  </si>
  <si>
    <t>CONSOLIDADO INSTITUCIONAL</t>
  </si>
  <si>
    <t>ASPECTOS A TENER EN CUENTA AL EVALUAR ESTE INDICADOR</t>
  </si>
  <si>
    <t>OBSERVACIONES LIDER PROCESO</t>
  </si>
  <si>
    <t>Consolidado Indicador 
Gestión de Investigación e Innovación</t>
  </si>
  <si>
    <t>Adehrencia a los Syllabus de Rotación 
DOCENCIA-SERVICIO</t>
  </si>
  <si>
    <t>Resultado 2doTrimestre</t>
  </si>
  <si>
    <t>-</t>
  </si>
  <si>
    <t>Resultado 3erTrimestre</t>
  </si>
  <si>
    <t>Resultado 4toTrimestre</t>
  </si>
  <si>
    <t>Resultado 2do Trimestre</t>
  </si>
  <si>
    <t>PROGRAMA MADRE CANGURO</t>
  </si>
  <si>
    <t>El programa se mide por cobertura de la totalidad de las áreas de la institución y no por participación del personal de cada una</t>
  </si>
  <si>
    <t>1. Base de datos  de registro de pacientes tomada del contacto directo con el paciente y su familia, por el equipo de humanización</t>
  </si>
  <si>
    <t xml:space="preserve">1.Tabulación formato adhrencia al buen trato </t>
  </si>
  <si>
    <t>Adherencia al buen trato (UCI´s, Hospitalización, Urgencias, programa madre cangjuro)</t>
  </si>
  <si>
    <t>Crecimiento UVR</t>
  </si>
  <si>
    <t>UVR acumulada periodo actual / UVR acumulada periodo anterior - 1)</t>
  </si>
  <si>
    <t>Incremento en la utilización de Quirófano</t>
  </si>
  <si>
    <t>Incremento en la facturación neta de la vigencia</t>
  </si>
  <si>
    <t>Facturación neta de la vigencia / Facturación neta de vigencia anterior - 1)</t>
  </si>
  <si>
    <t xml:space="preserve">Identificación e Intervención de Hallazgos en Auditoria pre radicación </t>
  </si>
  <si>
    <t>Inconsistencias intervenidas / Total de inconsistencias halladas</t>
  </si>
  <si>
    <t>Utilzación de la capacidad instalada</t>
  </si>
  <si>
    <t>Capacidad instalada utilizada  / Total capacidad instalada disponible</t>
  </si>
  <si>
    <t>Ingreso reconocido por venta de servicios de Salud por UVR</t>
  </si>
  <si>
    <t xml:space="preserve">Total facturación reconocida / Número de UVR producidas </t>
  </si>
  <si>
    <t>&gt;= mismo periodo vigencia anterior</t>
  </si>
  <si>
    <t>Gasto por UVR producida</t>
  </si>
  <si>
    <t>Gasto de funcionamiento + de operación comercial y prestación de servicios / Número de UVR producidas</t>
  </si>
  <si>
    <t>Gasto de personal por UVR producida</t>
  </si>
  <si>
    <t>Gasto de personal (de planta +remuneración servicios técnicos) / Número de UVR producidas</t>
  </si>
  <si>
    <t>&lt;= mismo periodo vigencia anterior</t>
  </si>
  <si>
    <t>&lt;= al periodo vigencia anterior</t>
  </si>
  <si>
    <t>Equilibrio con reconocimiento total</t>
  </si>
  <si>
    <t xml:space="preserve">Total reconocimiento  / Total gasto comprometido </t>
  </si>
  <si>
    <t>&gt;1</t>
  </si>
  <si>
    <t>Equilibrio con recaudo total</t>
  </si>
  <si>
    <t xml:space="preserve">Total recaudo  / Total gasto comprometido </t>
  </si>
  <si>
    <t>Oportunidad en la respuesta de glosa inicial</t>
  </si>
  <si>
    <t>Total facturas con glosa que cuentan con respuesta oportuna / Total de facturas notificadas con glosa inicial en la vigencia</t>
  </si>
  <si>
    <t>Participación de la Glosa inicial y devoluciones pendientes en el total de la cartera</t>
  </si>
  <si>
    <t xml:space="preserve">Aceptación de Glosa de la vigencia </t>
  </si>
  <si>
    <t>Valor de Glosa neta final aceptada de la vigencia / Facturado en la vigencia</t>
  </si>
  <si>
    <t>&lt;4%</t>
  </si>
  <si>
    <t>Cumplimiento en pago de vigencias anteriores</t>
  </si>
  <si>
    <t>Total de pagos de cuentas por pagar de vigencias anteriores  / Total cuentas por pagar vigencias anteriores</t>
  </si>
  <si>
    <t>Superavit o Deficit presupuestal</t>
  </si>
  <si>
    <t>Total ingreso reconocido - Total gasto comprometido</t>
  </si>
  <si>
    <t xml:space="preserve">Acto Administrativo de adopción de la política de prevención del daño Antijuridico y evidencias de su socialización </t>
  </si>
  <si>
    <t xml:space="preserve">Acto Administrativo actualización y evidencia de socialización </t>
  </si>
  <si>
    <t>Informe de seguimiento Política de Prevención del Daño Antijuridico</t>
  </si>
  <si>
    <t>Informe de seguimiento</t>
  </si>
  <si>
    <t>Acciones de mejora definidas para Riesgo Jurídico Identificado</t>
  </si>
  <si>
    <t>Acciones de mejora identificadas</t>
  </si>
  <si>
    <t>Calculo del indice de Riesgo</t>
  </si>
  <si>
    <t xml:space="preserve">Superavit o Deficit operacional Total / Ingresos operacionales totales recaudados </t>
  </si>
  <si>
    <t xml:space="preserve">Facturación </t>
  </si>
  <si>
    <t>Auditoria Cuentas</t>
  </si>
  <si>
    <t>Cartera</t>
  </si>
  <si>
    <t>Gestión Juridica</t>
  </si>
  <si>
    <t xml:space="preserve">Seguimiento trimestral al comportamiento de los centros de costos </t>
  </si>
  <si>
    <t>Total informes trimestrales de costos evaluados  / Total trimestres de la vigencia</t>
  </si>
  <si>
    <t>Centros de costos definidos con diagnóstico realizado</t>
  </si>
  <si>
    <t>Total centros de costos con informe de diagnostico / total de centros de costos definidos</t>
  </si>
  <si>
    <t>Unidades funcionales definidos con diagnostico realizado</t>
  </si>
  <si>
    <t>Total unidades funcionales con informe de diagnostico / total unidades funcionales definidas</t>
  </si>
  <si>
    <t>Criterios de distribución de costos actualizados si aplica</t>
  </si>
  <si>
    <t>Total criterios de distribución de costos con informe diagnóstico / Total criterios de distribución de costos definifdos</t>
  </si>
  <si>
    <t xml:space="preserve">Cumplimiento de requisitos de Buenas practicas de elaboración </t>
  </si>
  <si>
    <t>Cumplimiento de los requisitos de la norma  ISO 14001:2015</t>
  </si>
  <si>
    <t>Gerencia Tecnología</t>
  </si>
  <si>
    <t>Número de actividade ejecutadas / Número de Actividades programadas</t>
  </si>
  <si>
    <t>Implementación plan de acción de SST (Plan de trabajo)</t>
  </si>
  <si>
    <t>Implementación plan de acción de SGA  (Plan de trabajo)</t>
  </si>
  <si>
    <t>Implementación plan de acción de BPE (Plan de trabajo)</t>
  </si>
  <si>
    <t>Implementación plan de acción de BPM (Plan de trabajo)</t>
  </si>
  <si>
    <t xml:space="preserve">1. Plan de trabajo de integración con imagenología.
2. Capacitaciones realizadas al personal involucrado en la integración (Imagenología, Facturación, citas médicas, ESEncia- TIC y Servinte-Agfa)
3. Actas de reunión 
4. Dcoumentación de la integración y procedimientos de proceso </t>
  </si>
  <si>
    <t>1. P01 - P02 y P03 tiene un alcance de cumplimiento total para la vigencia 2021, y P04 y P05 son proyectos a largo plazo con un avance de ejecución párcial para 2021
2. Contratos de tecnología para ejecución de los proyectos</t>
  </si>
  <si>
    <t>Ssitemas</t>
  </si>
  <si>
    <t>Radiología e Imágenes
diagnósticas</t>
  </si>
  <si>
    <t>Facturación</t>
  </si>
  <si>
    <t>Consulta Externa</t>
  </si>
  <si>
    <t>Actividades ejecutadas plan de acción MIPG / Actividades programadas</t>
  </si>
  <si>
    <t>Cronogramas de Actividades</t>
  </si>
  <si>
    <t>Cronogramas de Actividades
Plan de Mantenimiento</t>
  </si>
  <si>
    <t>Planeador Actividades</t>
  </si>
  <si>
    <t>Gestión Quirurgica</t>
  </si>
  <si>
    <t xml:space="preserve">Cumplimiento PAMEC vigencia </t>
  </si>
  <si>
    <t>Actividades ejecutadas / Actividades programadas</t>
  </si>
  <si>
    <t>Resultado tercer Trimestre</t>
  </si>
  <si>
    <t>Resultado cuarto Trimestre</t>
  </si>
  <si>
    <t xml:space="preserve">Solicitud de dotación hospitalaria (camas) por parte de Biomédcia
Estudio previo-estudio de mercado
Publicación para Licitación
Propuestas radicadas
Concepto técnica - Asignación   
Contrato - Acta de inicio
Ingreso a almacén
</t>
  </si>
  <si>
    <t xml:space="preserve">Ingresos a almacen de los equipos Biomedicos correspondientes a los Proyectos Dotación  para UCI y Hospitalizción / sistema de alto flujo, </t>
  </si>
  <si>
    <t>Resultado  Segundo Trimestre</t>
  </si>
  <si>
    <t>RESULTADO CONSOLIDADO 2do TRIMESTRE</t>
  </si>
  <si>
    <t>RESULTADO CONSOLIDADO  3er TRIMESTRE</t>
  </si>
  <si>
    <t>RESULTADO CONSOLIDADO  4toTRIMESTRE</t>
  </si>
  <si>
    <t>RESULTADO CONSOLIDADO 3er TRIMESTRE</t>
  </si>
  <si>
    <t>RESULTADO CONSOLIDADO 4to TRIMESTRE</t>
  </si>
  <si>
    <t>PERIODICIDAD</t>
  </si>
  <si>
    <t>Trimestral</t>
  </si>
  <si>
    <t>Anual</t>
  </si>
  <si>
    <t>Director Técnico Farmacia</t>
  </si>
  <si>
    <t>Semestral</t>
  </si>
  <si>
    <t>Coordinador Clínicas Quirúrgicas</t>
  </si>
  <si>
    <t>RESULTADO CONSOLIDADO 4toTRIMESTRE</t>
  </si>
  <si>
    <t>RESULTADO CONSOLIDADO  4to TRIMESTRE</t>
  </si>
  <si>
    <t>Planeación</t>
  </si>
  <si>
    <t>Número de actividades ejecutadas / Número de Actividades programadas</t>
  </si>
  <si>
    <t>Líder Sistema Gestión Ambiental</t>
  </si>
  <si>
    <t>Líder Seguridad y Salud en el Trabajo</t>
  </si>
  <si>
    <t>Resultado 3 er timestre</t>
  </si>
  <si>
    <t>Resultado 4to timestre</t>
  </si>
  <si>
    <t>Mensual</t>
  </si>
  <si>
    <t>Calidad</t>
  </si>
  <si>
    <t>Seguridad del Paciente</t>
  </si>
  <si>
    <t>Resultado tercerTrimestre</t>
  </si>
  <si>
    <t>GESTIÓN FARMACEUTICA</t>
  </si>
  <si>
    <t>SEGURIDAD Y SALUD EN EL TRABAJO</t>
  </si>
  <si>
    <t>GESTIÓN AMBIENTAL</t>
  </si>
  <si>
    <t>IAMII</t>
  </si>
  <si>
    <t>ENFERMERIA (GRUPO INTERNO DE TRABAJO)</t>
  </si>
  <si>
    <t>FACTURACIÓN</t>
  </si>
  <si>
    <t xml:space="preserve">OBSERVACIONES LIDER PROCESO
EVIDENCIA </t>
  </si>
  <si>
    <t>Informe resultado cumplimiento plan de trabajo trimestral</t>
  </si>
  <si>
    <t>Resultado Cuarto Trimestre</t>
  </si>
  <si>
    <t>Seguimiento demandas interpuestas por derechos laborales</t>
  </si>
  <si>
    <t>Calidad
(Auditoría Guías)</t>
  </si>
  <si>
    <t>EVIDENCIA</t>
  </si>
  <si>
    <t>Obtener la Certificación en ISO 9001:2015 Sistema de Gestión de Calidad</t>
  </si>
  <si>
    <t xml:space="preserve">Cumplimiento de los requisitos de la norma ISO 9001:20158
</t>
  </si>
  <si>
    <t>EVIDENICA</t>
  </si>
  <si>
    <t>Resultado TercerTrimestre</t>
  </si>
  <si>
    <t>Humanización</t>
  </si>
  <si>
    <t>Modelo de atención</t>
  </si>
  <si>
    <t>GESTIÓN CLÍNICA</t>
  </si>
  <si>
    <t>GESTIÓN QUIRÚRGICA</t>
  </si>
  <si>
    <t>SEDE MARIA JOSEFA CANELOS</t>
  </si>
  <si>
    <t>Pamec</t>
  </si>
  <si>
    <t>Seguridad del paciente</t>
  </si>
  <si>
    <t>A5</t>
  </si>
  <si>
    <t>Alta Complejidad</t>
  </si>
  <si>
    <t>PEGIF</t>
  </si>
  <si>
    <t>Programa de Costos</t>
  </si>
  <si>
    <t>Programa Daño Antijuridico</t>
  </si>
  <si>
    <t>SEGURIDAD DEL PACIENTE</t>
  </si>
  <si>
    <t>MIPG</t>
  </si>
  <si>
    <t>Integración de sistemas</t>
  </si>
  <si>
    <t>Adecuación y Mejoramiento Infraestructura</t>
  </si>
  <si>
    <t xml:space="preserve">Gestión Tecnología </t>
  </si>
  <si>
    <t>PEGITH</t>
  </si>
  <si>
    <t>IAMI</t>
  </si>
  <si>
    <t>LABORATORIO CLÍNICO</t>
  </si>
  <si>
    <t>ISO 14001:2015</t>
  </si>
  <si>
    <t>ISO 45001:2018</t>
  </si>
  <si>
    <t>ISO 9001:2015</t>
  </si>
  <si>
    <t>BPE</t>
  </si>
  <si>
    <t>BPM</t>
  </si>
  <si>
    <t xml:space="preserve">Programa de Investigación </t>
  </si>
  <si>
    <t>Líneas de Investigación</t>
  </si>
  <si>
    <t>Número de Congresos</t>
  </si>
  <si>
    <t>Alianzas Estrátegicas</t>
  </si>
  <si>
    <t>LABORATORIO CLINICO</t>
  </si>
  <si>
    <t>UCI  PEDIATRICA</t>
  </si>
  <si>
    <t>UCI  NEONATAL</t>
  </si>
  <si>
    <t>EVINDECIA</t>
  </si>
  <si>
    <t>&gt;=70%</t>
  </si>
  <si>
    <t>TRIMESTRAL</t>
  </si>
  <si>
    <t>ANUAL</t>
  </si>
  <si>
    <t>INFORME AUTOEVALUACIÓN</t>
  </si>
  <si>
    <t>HERRAMIENTA MEDICION MODELO DE ATENCION POR SERVICIOS</t>
  </si>
  <si>
    <t>OBSERVACIONES CONTROL INTERNO</t>
  </si>
  <si>
    <t xml:space="preserve"> CUMPLIMIENTO INDICADORES PROGRAMA 2 TRIMESTRE</t>
  </si>
  <si>
    <t>cumplimiento ,.</t>
  </si>
  <si>
    <t>Total de glosas pendientes de conciliar entre las partes + Devoluciones pendientes de reconocimiento de pago / Total Cartera</t>
  </si>
  <si>
    <t>APOYO SERVICIOS  SALUD</t>
  </si>
  <si>
    <t>Acta de comité cartera / socialización de facturación mensual</t>
  </si>
  <si>
    <t>ESE HOSPITAL UNIVERSITARIO SAN RAFAEL TUNJA</t>
  </si>
  <si>
    <t>PROCESOS INVOLUCRADOS</t>
  </si>
  <si>
    <t>PROCESOS Y/O SERVICIOS INVOLUCRADOS</t>
  </si>
  <si>
    <t>INSTRUCTIVO EVALUACIÓN POA</t>
  </si>
  <si>
    <t>Aquí se diligencia por cada líder de Programa el resultado obtenido en cada indicador, según la periodicidad y aplicable a cada proceso y/o servicio involucrado</t>
  </si>
  <si>
    <t>Se describe los aspectos o actividades que conlleven al despliegue y desarrollo de las fuentes de información, para que se ejecuten por parte del líder del programa o proceso y/o servicio responsable de alimentarlo, correspondiente a información vital al momento de evalaur indicadores con periodicidad de medición superior a tres meses</t>
  </si>
  <si>
    <t>Gestión Clínica</t>
  </si>
  <si>
    <t>Se encuentran el(los) procesos o servicios aliados en el despliegue del programa estratégico</t>
  </si>
  <si>
    <t>OBSERVACIONES LÍDER DEL PROCESO</t>
  </si>
  <si>
    <t xml:space="preserve">Corrresponde al promedio consolidado de los resultados del indicador de cada proceso y/o servicio </t>
  </si>
  <si>
    <t>POA POR PROCESO Y/O SERVICIO</t>
  </si>
  <si>
    <t>AVANCES SEGÚN  CUMPLIMIENTO DE META</t>
  </si>
  <si>
    <t>Se evidencia el avance trimestral de cada indicador con respecto a la meta establecida para cada uno</t>
  </si>
  <si>
    <t>Esta medición se realizará trimestral midiendo el resultado de avance de cada Plan Operativo con respecto a los indicadores definidos en cada uno</t>
  </si>
  <si>
    <t>INFORME SEGUIMIENTO TRIMESTRAL</t>
  </si>
  <si>
    <t>Meta indicador</t>
  </si>
  <si>
    <t>Peso Porcentual sobre meta vigencia</t>
  </si>
  <si>
    <t xml:space="preserve">Cumplimiento Global del modelo </t>
  </si>
  <si>
    <t>Indicadores Aplicables</t>
  </si>
  <si>
    <t>Avance Meta Vigencia</t>
  </si>
  <si>
    <t>Reporte cumplimiento trimestral</t>
  </si>
  <si>
    <t>% Cumplimiento meta vigencia</t>
  </si>
  <si>
    <t>Meta vigencia</t>
  </si>
  <si>
    <t>Coordinador Técnico Farmacia</t>
  </si>
  <si>
    <t>Indicadores Aplicables al programa</t>
  </si>
  <si>
    <t>CUMPLIMIENTO PROGRAMA DE HUMANIZACIÓN IMPLEMENTADO CLIENTE INTERNO Y EXTERNO</t>
  </si>
  <si>
    <t>PROMEDIO TRIMESTRAL CUMPLIMIENTO POR PROCESO Y/O SERVICIO</t>
  </si>
  <si>
    <t>Eje Estratégico definifo en Plan de Desarrollo</t>
  </si>
  <si>
    <t>Objetivo Estratégico definifo en Plan de Desarrollo</t>
  </si>
  <si>
    <t>Nombre del Programa definido en el Plan de Desarrollo</t>
  </si>
  <si>
    <t>Meta definida en el Plan de Desarrolo para la vigencia evaluada</t>
  </si>
  <si>
    <t>Actividad definida en el Plan de Desarrollo, sobre las cuales se estructura el POA</t>
  </si>
  <si>
    <t xml:space="preserve">FÓRMULA </t>
  </si>
  <si>
    <t>Expresión matemática que consiste en la división del numerador entre el denominador, multiplicado por el factor correspondiente</t>
  </si>
  <si>
    <t>Límite propuesto como ideal de mejoramiento para alcanzar el desempeño deseable para la condición medida por el indicador.</t>
  </si>
  <si>
    <t>Frecuencia de medición del indicador dentro del programa o actividad</t>
  </si>
  <si>
    <t>Líder de programa según aplique</t>
  </si>
  <si>
    <t>RESULTADO CONSOLIDAD POR NTRIMESTRE</t>
  </si>
  <si>
    <t>Si las considera pertinentes</t>
  </si>
  <si>
    <t>EVALUACIÓN POA ANUAL</t>
  </si>
  <si>
    <t>Línea Estratégica definido en Plan de Desarrollo</t>
  </si>
  <si>
    <t>Resultado del(os) indicador(es) definido(s) por el líder del programa aplicables a la medición de la vigencia, conforme a la meta definida en la ficha técnica de cada uno</t>
  </si>
  <si>
    <t xml:space="preserve"> CUMPLIMIENTO INDICADORES PROGRAMA 3 TRIMESTRE</t>
  </si>
  <si>
    <t xml:space="preserve"> CUMPLIMIENTO INDICADORES PROGRAMA 4 TRIMESTRE</t>
  </si>
  <si>
    <t xml:space="preserve"> RESULTADO FRENTE A META VIGENCIA</t>
  </si>
  <si>
    <t>Cumplimiento Global del modelo Urgencias</t>
  </si>
  <si>
    <t>Cumplimiento Global del modelo UCI Adultos</t>
  </si>
  <si>
    <t>Cumplimiento Global del modelo UCI Pediátrica</t>
  </si>
  <si>
    <t>Cumplimiento Global del modelo UCI Neonatal</t>
  </si>
  <si>
    <t>Cumplimiento Global del modelo Apoyo Servicios Salud</t>
  </si>
  <si>
    <t>Cumplimiento Global del modelo María Josefa Canelones</t>
  </si>
  <si>
    <t>PROGRAMA ESTRATÉGICO</t>
  </si>
  <si>
    <t>Programa definido en el Plan de Desarrollo</t>
  </si>
  <si>
    <t>Actividad desplegable de los Programas Estratégicos y sobre las cuales se realizará la medición de POA´S</t>
  </si>
  <si>
    <t xml:space="preserve">Meta definida para cada vigencia y aplicable a la medición </t>
  </si>
  <si>
    <t>META VIGENCIA</t>
  </si>
  <si>
    <t>RESPONSABLE</t>
  </si>
  <si>
    <t>Líder responsable de medición de cada actividad</t>
  </si>
  <si>
    <t>RESULTADO FRENTE A META VIGENCIA</t>
  </si>
  <si>
    <t>CUMPLIMIENTO INDICADORES PROGRAMA XX TRIMESTRE</t>
  </si>
  <si>
    <t>Dato que se obtiene de la medición trimestral individual de los POA, de acuerdo al resultado en el cumplimiento de las metas de los indicadores definidos</t>
  </si>
  <si>
    <t>PROMEDIO CUMPLIMIENTO</t>
  </si>
  <si>
    <t>Esta medición se realizará anualmente conforme a lo definido en los oficios, por cada líder de Programa Estratégico, basado en los indicadores estipulados y en la asignación de pesos porcentuales a cada uno. Su medición es anual debido a que con la desagregación en dichos porcentajes, se obtiene el resultado de la vigencia completa, en cada POA se realiza un análisis del resultado de los indicadores conforme a lo definido en el oficio.</t>
  </si>
  <si>
    <t>Acciones de mejoramiento fomrulado en Anexo 10 PAMEC, para cada Estandar según priorización</t>
  </si>
  <si>
    <t>Autoevaluación por vigencia del Programa de Auditoria para el mejoramiento de la Calidad, según informe presentado a Secretaria de Salud</t>
  </si>
  <si>
    <t>INDICADOR RESULTADO</t>
  </si>
  <si>
    <t>Indicador Resultado</t>
  </si>
  <si>
    <t>Número de integraciones ejecutadas en la vigencia</t>
  </si>
  <si>
    <t>Resultado 2do Trimestre - Promedio</t>
  </si>
  <si>
    <t>Promedio indicadores Programa Estratégico</t>
  </si>
  <si>
    <t>Adehrencia a los Syllabus de Rotación DOCENCIA-SERVICIO</t>
  </si>
  <si>
    <t>VERSIÓN: 04</t>
  </si>
  <si>
    <t>FECHA: 26/05/2021</t>
  </si>
  <si>
    <t>Proporción de vigilancia de eventos adversos</t>
  </si>
  <si>
    <t>Promedio de la calificación de adherencia a las buenas prácticas de seguridad del paciente</t>
  </si>
  <si>
    <t xml:space="preserve">Promedio de la calificación de la implementación de las buenas practicas de seguridad del paciente priorizadas </t>
  </si>
  <si>
    <t>No. de ítems de implementación que se  que cumplen en el periodo según cronograma / Total de ítems evaluado en el periodo  según cronograma .x100</t>
  </si>
  <si>
    <t>&gt;=65%</t>
  </si>
  <si>
    <t>Gestión del riesgo extremo y alto en seguridad del paciente</t>
  </si>
  <si>
    <t>Lider Seguridad del Paciente</t>
  </si>
  <si>
    <t xml:space="preserve">Sumatoria del numero de listas de chequeo  aplicadas por pacientes atendidos que cumplen con los criterios según estándar (protocolo...) institucional en el periodo / Sumatoria total de las listas de chequeo aplicadas por pacientes atendidos en el periodo X 100 
 </t>
  </si>
  <si>
    <t>Número total de eventos adversos detectados y gestionados / Número total de eventos adversos detectados</t>
  </si>
  <si>
    <t>1- Base des datos CA-F-77 Reporte y gestión de eventos
2- Informes unidades de análisis</t>
  </si>
  <si>
    <t>1. Listas de Chequeo evalaución de adhreencia  a las buenas practicas de Seguridad del Paciente
2, Infomres de adehrencia de las buenas practicas
3, Indicadores de Adherencia</t>
  </si>
  <si>
    <t>1,  Lista de autoevaluación e implemetanción de las buenas practicas</t>
  </si>
  <si>
    <t>1, Matriz de riesgo de seguridad del paciente de cada proceso</t>
  </si>
  <si>
    <t>Actas de Comité segurdiad del paciente
Informe ejecutivo del prograrama</t>
  </si>
  <si>
    <t xml:space="preserve">Actas de Comité segurdiad del paciente
Informes de adherencia </t>
  </si>
  <si>
    <t>Tiempo de Utilización Quirófano periodo actual / Tyiempo de Utilización Quirófano periodo anterior - 1)</t>
  </si>
  <si>
    <t>Informe de Seguimiento</t>
  </si>
  <si>
    <t>Evidencias Cronograma</t>
  </si>
  <si>
    <t>Informe Anual de Integraciones</t>
  </si>
  <si>
    <t xml:space="preserve">Informe de avance de obra </t>
  </si>
  <si>
    <t>Informe de actividades de manteniemiento</t>
  </si>
  <si>
    <t>Actas de Comité de aprobación</t>
  </si>
  <si>
    <t>Informe de actividades de mantenimiento</t>
  </si>
  <si>
    <t>Certificados</t>
  </si>
  <si>
    <t>Tabulación encuesta</t>
  </si>
  <si>
    <t>Actas  asistencia</t>
  </si>
  <si>
    <t>Informe y/o respectiva evidencia</t>
  </si>
  <si>
    <t>Informes Trimestrales</t>
  </si>
  <si>
    <t>Informes Diagnóstico</t>
  </si>
  <si>
    <t>&gt;5%</t>
  </si>
  <si>
    <t>&gt;=3%</t>
  </si>
  <si>
    <t>&gt;8%</t>
  </si>
  <si>
    <t>&gt;=85%</t>
  </si>
  <si>
    <t>&gt;95%</t>
  </si>
  <si>
    <t>&lt;=30%</t>
  </si>
  <si>
    <t>Incremento Recaudo de cartera</t>
  </si>
  <si>
    <t>Cumplimiento del articulo 22 "Cobro Persuasivo" de la Resolución 072 de 2020 Manual Interno de recaudo de Cartera</t>
  </si>
  <si>
    <t>&gt;=10%</t>
  </si>
  <si>
    <t xml:space="preserve">Informe </t>
  </si>
  <si>
    <t>Valor recaudadotrimestre vigencia actua l / Valor recaudado trimestre vigencia anterior</t>
  </si>
  <si>
    <t>Gestión Jurídica
Líder Auditoría Guías</t>
  </si>
  <si>
    <t>Informe jurídico sobre demandas del impacto de la no adherencia a guías</t>
  </si>
  <si>
    <t>Informe jurídico sobre demandas de Gestión de Evento adverso</t>
  </si>
  <si>
    <t>Promedio de cumplimiento de indicadores del modelo</t>
  </si>
  <si>
    <t>Promedio de cumplimiento de actividades que aplican según cronograma vigencia 2021</t>
  </si>
  <si>
    <t> &gt;80%</t>
  </si>
  <si>
    <t>&gt;=40%</t>
  </si>
  <si>
    <t>SEDE MARIA JOSEFA CANELONES</t>
  </si>
  <si>
    <t>EPIDEMIOLOGIA Y  SALUD PUBLICA</t>
  </si>
  <si>
    <t>Cumplimiento cronograma</t>
  </si>
  <si>
    <t>Informe</t>
  </si>
  <si>
    <t>Asesora Prestación Servicios de Salud Hospitalarios</t>
  </si>
  <si>
    <t>Promedio de cumplimiento de actividades que aplican según cronograma vigencia 2021 Proyecto Unidad de cancerología - fase 1</t>
  </si>
  <si>
    <t>Promedio de cumplimiento de actividades que aplican según cronograma vigencia 2021 Programa de rehabilitación pulmonar</t>
  </si>
  <si>
    <t>Promedio de cumplimiento de actividades que aplican según cronograma vigencia 2021 Programa clínica de osteoporosis</t>
  </si>
  <si>
    <t>Promedio de cumplimiento de actividades que aplican según cronograma vigencia 2021 Programa clínica de obesidad</t>
  </si>
  <si>
    <t xml:space="preserve">Promedio de cumplimiento de actividades que aplican según cronograma vigencia 2021Programa de pie diabético </t>
  </si>
  <si>
    <t>Promedio de cumplimiento de actividades que aplican según cronograma vigencia 2021 Programa hospital seguro contra la trombosis</t>
  </si>
  <si>
    <t>Promedio de cumplimiento de actividades que aplican según cronograma vigencia 2021 Programa clínica de anticoagulación</t>
  </si>
  <si>
    <t>Promedio de cumplimiento de actividades que aplican según cronograma vigencia 2021 Programa de donación de órganos</t>
  </si>
  <si>
    <t>Promedio de cumplimiento de actividades que aplican según cronograma vigencia 2021 Comité de bioética</t>
  </si>
  <si>
    <t>Promedio de cumplimiento de actividades que aplican según cronograma vigencia 2021 Laboratorio de pruebas de función pulmonar</t>
  </si>
  <si>
    <t>Promedio de cumplimiento de actividades que aplican según cronograma vigencia 2021 Programa de accesos vasculares</t>
  </si>
  <si>
    <t>Promedio de cumplimiento de actividades que aplican según cronograma vigencia 2021 Retinología</t>
  </si>
  <si>
    <t>Promedio de cumplimiento de actividades que aplican según cronograma vigencia 2021 Programa de extensión comunitaria</t>
  </si>
  <si>
    <t>Promedio de cumplimiento de actividades que aplican según cronograma vigencia 2021 Microcirugía</t>
  </si>
  <si>
    <t>Promedio de cumplimiento de actividades que aplican según cronograma vigencia 2021 Endocrinología pediátrica</t>
  </si>
  <si>
    <t>Promedio de cumplimiento de actividades que aplican según cronograma vigencia 2021 Neumología pediátrica</t>
  </si>
  <si>
    <t>Promedio de cumplimiento de actividades que aplican según cronograma vigencia 2021 Psiquiatría infantil</t>
  </si>
  <si>
    <t>Acciones de control ejecutadas / Acciones de control identificadas</t>
  </si>
  <si>
    <t xml:space="preserve">PRODUCTO:  Informe jurídico en el que se determine el impacto jurídico de la no adherencia a las guías de manejo clínico correspondientes a la fechas de los hechos de las demandas,  que permita ajustar las actividades del  plan de acción anual del Manual de Prevención de antijurídico de la ESE. </t>
  </si>
  <si>
    <t>Se establecera  una vez evaluada la información presentada por la oficina jurídica y partes interesadas</t>
  </si>
  <si>
    <t>INFORME</t>
  </si>
  <si>
    <t xml:space="preserve">1.  Informe 
2. Plan de acción del Manuel de Prevención de daño Antijurídico ajustado con base en el informe, de ser el caso  </t>
  </si>
  <si>
    <t xml:space="preserve">PRODUCTO:   Informe jurídico que en el que se determine los servicios y personal  presuntamente involucrados en hechos adversos, correspondientes a la fechas de los hechos de las demandas,  que permita ajustar las actividades del  plan de acción anual del Manual de Prevención de antijurídico de la ESE. </t>
  </si>
  <si>
    <t xml:space="preserve">PRODUCTO:  Informe jurídico que contenga seguimiento a demandas interpuestas por derechos laborales e incluya recomendaciones al área de Contratactón y Talento Humano de la ESE, y se generen compromisos en mesas de trabajo.  </t>
  </si>
  <si>
    <t xml:space="preserve">1, Informe
2, Recomendaciones por escrito radicadas a las dependencias correspondientes.
3, Actas de reunión </t>
  </si>
  <si>
    <t>Cumplimiento de obra (Construcción)</t>
  </si>
  <si>
    <t>Construcciones ejecutadas / Construcciones solicitadas</t>
  </si>
  <si>
    <t>Cumplimiento de obra (Adecuación)</t>
  </si>
  <si>
    <t>Adecuaciones ejecutadas / Adecuaciones solicitadas</t>
  </si>
  <si>
    <t>Mantenimientos  predictivos  / Mantenimientos correctivos</t>
  </si>
  <si>
    <t>&gt;=0,5</t>
  </si>
  <si>
    <t>Innforme Resultados encuesta</t>
  </si>
  <si>
    <t>Proyectos publicados en revista</t>
  </si>
  <si>
    <t>1 Congreso</t>
  </si>
  <si>
    <t>Base de datos de espacios de difusión</t>
  </si>
  <si>
    <t>1 Alianza Estratégica</t>
  </si>
  <si>
    <t>Alianzas o convenios  firmadas</t>
  </si>
  <si>
    <t>Reporte cumplimiento 2° trimestre</t>
  </si>
  <si>
    <t>Reporte cumplimiento 3er trimestre</t>
  </si>
  <si>
    <t>Proyectos de investigación competitiva a nivel regional y Nacional impactando positivamente el Fortalecimiento de la E.S.E Hospital Universitario San Rafael De Tunja y su zona de influencia.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</si>
</sst>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8"/>
      <name val="Tahoma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Tahoma"/>
      <family val="2"/>
    </font>
    <font>
      <sz val="11"/>
      <color theme="1"/>
      <name val="Tahoma"/>
      <family val="2"/>
    </font>
    <font>
      <sz val="10"/>
      <color rgb="FFFF0000"/>
      <name val="Tahoma"/>
      <family val="2"/>
    </font>
    <font>
      <sz val="20"/>
      <color theme="1"/>
      <name val="Tahoma"/>
      <family val="2"/>
    </font>
    <font>
      <sz val="22"/>
      <color theme="1"/>
      <name val="Tahoma"/>
      <family val="2"/>
    </font>
    <font>
      <sz val="8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8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Tahoma"/>
      <family val="2"/>
    </font>
    <font>
      <u/>
      <sz val="11"/>
      <color theme="10"/>
      <name val="Calibri"/>
      <family val="2"/>
    </font>
    <font>
      <sz val="12"/>
      <color theme="7" tint="-0.499984740745262"/>
      <name val="Calibri"/>
      <family val="2"/>
      <scheme val="minor"/>
    </font>
    <font>
      <sz val="12"/>
      <name val="Tahoma"/>
      <family val="2"/>
    </font>
    <font>
      <u/>
      <sz val="12"/>
      <color theme="7" tint="-0.499984740745262"/>
      <name val="Calibri"/>
      <family val="2"/>
    </font>
    <font>
      <u/>
      <sz val="12"/>
      <color theme="7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Tahoma"/>
      <family val="2"/>
    </font>
    <font>
      <b/>
      <sz val="8"/>
      <name val="Tahoma"/>
      <family val="2"/>
    </font>
    <font>
      <sz val="16"/>
      <color theme="1"/>
      <name val="Tahoma"/>
      <family val="2"/>
    </font>
    <font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AC0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2E4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630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9" fontId="6" fillId="2" borderId="7" xfId="2" applyFont="1" applyFill="1" applyBorder="1" applyAlignment="1" applyProtection="1">
      <alignment horizontal="center" vertical="center" wrapText="1"/>
      <protection locked="0"/>
    </xf>
    <xf numFmtId="9" fontId="6" fillId="4" borderId="7" xfId="2" applyFont="1" applyFill="1" applyBorder="1" applyAlignment="1" applyProtection="1">
      <alignment horizontal="center" vertical="center" wrapText="1"/>
      <protection locked="0"/>
    </xf>
    <xf numFmtId="9" fontId="8" fillId="0" borderId="7" xfId="3" applyNumberFormat="1" applyFont="1" applyFill="1" applyBorder="1" applyAlignment="1" applyProtection="1">
      <alignment horizontal="center" vertical="center" wrapText="1"/>
      <protection locked="0"/>
    </xf>
    <xf numFmtId="9" fontId="8" fillId="0" borderId="7" xfId="2" applyFont="1" applyFill="1" applyBorder="1" applyAlignment="1" applyProtection="1">
      <alignment horizontal="center" vertical="center"/>
    </xf>
    <xf numFmtId="164" fontId="8" fillId="0" borderId="7" xfId="2" applyNumberFormat="1" applyFont="1" applyFill="1" applyBorder="1" applyAlignment="1" applyProtection="1">
      <alignment horizontal="center" vertical="center"/>
    </xf>
    <xf numFmtId="9" fontId="4" fillId="3" borderId="7" xfId="2" applyFont="1" applyFill="1" applyBorder="1" applyAlignment="1" applyProtection="1">
      <alignment vertical="center"/>
    </xf>
    <xf numFmtId="9" fontId="8" fillId="0" borderId="11" xfId="2" applyFont="1" applyFill="1" applyBorder="1" applyAlignment="1" applyProtection="1">
      <alignment horizontal="center" vertical="center"/>
      <protection locked="0"/>
    </xf>
    <xf numFmtId="0" fontId="8" fillId="0" borderId="7" xfId="3" applyFont="1" applyFill="1" applyBorder="1" applyAlignment="1" applyProtection="1">
      <alignment horizontal="center" vertical="center" wrapText="1"/>
      <protection locked="0"/>
    </xf>
    <xf numFmtId="0" fontId="8" fillId="0" borderId="7" xfId="3" applyFont="1" applyFill="1" applyBorder="1" applyAlignment="1" applyProtection="1">
      <alignment vertical="center" wrapText="1"/>
      <protection locked="0"/>
    </xf>
    <xf numFmtId="9" fontId="8" fillId="0" borderId="11" xfId="2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 wrapText="1"/>
    </xf>
    <xf numFmtId="43" fontId="8" fillId="0" borderId="7" xfId="1" applyFont="1" applyFill="1" applyBorder="1" applyAlignment="1" applyProtection="1">
      <alignment horizontal="center" vertical="center" wrapText="1"/>
      <protection locked="0"/>
    </xf>
    <xf numFmtId="165" fontId="8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2" applyNumberFormat="1" applyFont="1" applyFill="1" applyBorder="1" applyAlignment="1" applyProtection="1">
      <alignment horizontal="center" vertical="center"/>
    </xf>
    <xf numFmtId="0" fontId="8" fillId="0" borderId="7" xfId="3" applyNumberFormat="1" applyFont="1" applyFill="1" applyBorder="1" applyAlignment="1" applyProtection="1">
      <alignment horizontal="center" vertical="center" wrapText="1"/>
      <protection locked="0"/>
    </xf>
    <xf numFmtId="9" fontId="8" fillId="0" borderId="7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4" applyFont="1" applyFill="1" applyBorder="1" applyAlignment="1" applyProtection="1">
      <alignment vertical="center" wrapText="1"/>
      <protection locked="0"/>
    </xf>
    <xf numFmtId="1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4" applyFont="1" applyFill="1" applyBorder="1" applyAlignment="1" applyProtection="1">
      <alignment horizontal="left" vertical="center" wrapText="1"/>
      <protection locked="0"/>
    </xf>
    <xf numFmtId="9" fontId="4" fillId="3" borderId="7" xfId="2" applyFont="1" applyFill="1" applyBorder="1" applyProtection="1">
      <protection locked="0"/>
    </xf>
    <xf numFmtId="9" fontId="12" fillId="5" borderId="7" xfId="2" applyFont="1" applyFill="1" applyBorder="1" applyAlignment="1" applyProtection="1">
      <alignment horizontal="center" vertical="center"/>
      <protection locked="0"/>
    </xf>
    <xf numFmtId="9" fontId="9" fillId="7" borderId="7" xfId="2" applyFont="1" applyFill="1" applyBorder="1" applyAlignment="1" applyProtection="1">
      <alignment horizontal="center" vertical="center"/>
    </xf>
    <xf numFmtId="0" fontId="9" fillId="0" borderId="7" xfId="0" applyFont="1" applyBorder="1" applyProtection="1">
      <protection locked="0"/>
    </xf>
    <xf numFmtId="0" fontId="9" fillId="0" borderId="7" xfId="0" applyFont="1" applyFill="1" applyBorder="1" applyAlignment="1" applyProtection="1">
      <alignment horizontal="justify" vertical="top"/>
      <protection locked="0"/>
    </xf>
    <xf numFmtId="0" fontId="9" fillId="0" borderId="0" xfId="0" applyFont="1" applyProtection="1">
      <protection locked="0"/>
    </xf>
    <xf numFmtId="0" fontId="8" fillId="0" borderId="7" xfId="0" applyFont="1" applyFill="1" applyBorder="1" applyAlignment="1" applyProtection="1">
      <alignment horizontal="justify" vertical="top"/>
      <protection locked="0"/>
    </xf>
    <xf numFmtId="0" fontId="9" fillId="0" borderId="7" xfId="0" applyFont="1" applyFill="1" applyBorder="1" applyProtection="1">
      <protection locked="0"/>
    </xf>
    <xf numFmtId="0" fontId="15" fillId="0" borderId="7" xfId="0" applyFont="1" applyFill="1" applyBorder="1" applyAlignment="1" applyProtection="1">
      <alignment horizontal="justify" vertical="top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justify" vertical="center" wrapText="1"/>
      <protection locked="0"/>
    </xf>
    <xf numFmtId="0" fontId="9" fillId="0" borderId="7" xfId="0" applyFont="1" applyFill="1" applyBorder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vertical="center"/>
      <protection locked="0"/>
    </xf>
    <xf numFmtId="9" fontId="9" fillId="0" borderId="0" xfId="2" applyFont="1" applyProtection="1">
      <protection locked="0"/>
    </xf>
    <xf numFmtId="9" fontId="4" fillId="7" borderId="7" xfId="2" applyFont="1" applyFill="1" applyBorder="1" applyAlignment="1" applyProtection="1">
      <alignment vertical="center"/>
    </xf>
    <xf numFmtId="9" fontId="8" fillId="8" borderId="7" xfId="3" applyNumberFormat="1" applyFont="1" applyFill="1" applyBorder="1" applyAlignment="1" applyProtection="1">
      <alignment horizontal="center" vertical="center" wrapText="1"/>
      <protection locked="0"/>
    </xf>
    <xf numFmtId="0" fontId="8" fillId="8" borderId="7" xfId="3" applyFont="1" applyFill="1" applyBorder="1" applyAlignment="1" applyProtection="1">
      <alignment horizontal="center" vertical="center" wrapText="1"/>
      <protection locked="0"/>
    </xf>
    <xf numFmtId="9" fontId="8" fillId="8" borderId="7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3" applyFont="1" applyFill="1" applyBorder="1" applyAlignment="1" applyProtection="1">
      <alignment horizontal="center" vertical="center" wrapText="1"/>
      <protection locked="0"/>
    </xf>
    <xf numFmtId="9" fontId="8" fillId="9" borderId="7" xfId="2" applyFont="1" applyFill="1" applyBorder="1" applyAlignment="1" applyProtection="1">
      <alignment horizontal="center" vertical="center"/>
    </xf>
    <xf numFmtId="164" fontId="8" fillId="9" borderId="7" xfId="2" applyNumberFormat="1" applyFont="1" applyFill="1" applyBorder="1" applyAlignment="1" applyProtection="1">
      <alignment horizontal="center" vertical="center"/>
    </xf>
    <xf numFmtId="9" fontId="8" fillId="9" borderId="7" xfId="2" applyFont="1" applyFill="1" applyBorder="1" applyAlignment="1" applyProtection="1">
      <alignment horizontal="center" vertical="center"/>
      <protection locked="0"/>
    </xf>
    <xf numFmtId="0" fontId="8" fillId="0" borderId="11" xfId="3" applyFont="1" applyFill="1" applyBorder="1" applyAlignment="1" applyProtection="1">
      <alignment horizontal="left" vertical="center" wrapText="1"/>
      <protection locked="0"/>
    </xf>
    <xf numFmtId="0" fontId="8" fillId="0" borderId="11" xfId="3" applyFont="1" applyFill="1" applyBorder="1" applyAlignment="1" applyProtection="1">
      <alignment horizontal="center" vertical="center" wrapText="1"/>
      <protection locked="0"/>
    </xf>
    <xf numFmtId="9" fontId="8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justify" vertical="center"/>
    </xf>
    <xf numFmtId="0" fontId="21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9" fontId="8" fillId="0" borderId="7" xfId="2" applyFont="1" applyFill="1" applyBorder="1" applyAlignment="1" applyProtection="1">
      <alignment horizontal="center" vertical="center" wrapText="1"/>
      <protection locked="0"/>
    </xf>
    <xf numFmtId="9" fontId="9" fillId="0" borderId="0" xfId="2" applyFont="1" applyAlignment="1" applyProtection="1">
      <alignment horizontal="center" vertical="center"/>
      <protection locked="0"/>
    </xf>
    <xf numFmtId="0" fontId="14" fillId="5" borderId="7" xfId="3" applyFont="1" applyFill="1" applyBorder="1" applyAlignment="1">
      <alignment vertical="center" wrapText="1"/>
    </xf>
    <xf numFmtId="9" fontId="8" fillId="5" borderId="7" xfId="2" applyFont="1" applyFill="1" applyBorder="1" applyAlignment="1" applyProtection="1">
      <alignment horizontal="center" vertical="center" wrapText="1"/>
    </xf>
    <xf numFmtId="9" fontId="8" fillId="5" borderId="7" xfId="2" applyFont="1" applyFill="1" applyBorder="1" applyAlignment="1" applyProtection="1">
      <alignment horizontal="center" vertical="center"/>
    </xf>
    <xf numFmtId="0" fontId="14" fillId="3" borderId="7" xfId="3" applyFont="1" applyFill="1" applyBorder="1" applyAlignment="1">
      <alignment horizontal="center" vertical="center" wrapText="1"/>
    </xf>
    <xf numFmtId="9" fontId="8" fillId="10" borderId="7" xfId="3" applyNumberFormat="1" applyFont="1" applyFill="1" applyBorder="1" applyAlignment="1" applyProtection="1">
      <alignment horizontal="center" vertical="center" wrapText="1"/>
      <protection locked="0"/>
    </xf>
    <xf numFmtId="9" fontId="8" fillId="3" borderId="7" xfId="3" applyNumberFormat="1" applyFont="1" applyFill="1" applyBorder="1" applyAlignment="1" applyProtection="1">
      <alignment horizontal="center" vertical="center" wrapText="1"/>
      <protection locked="0"/>
    </xf>
    <xf numFmtId="9" fontId="8" fillId="5" borderId="7" xfId="3" applyNumberFormat="1" applyFont="1" applyFill="1" applyBorder="1" applyAlignment="1" applyProtection="1">
      <alignment horizontal="center" vertical="center" wrapText="1"/>
      <protection locked="0"/>
    </xf>
    <xf numFmtId="9" fontId="8" fillId="11" borderId="7" xfId="3" applyNumberFormat="1" applyFont="1" applyFill="1" applyBorder="1" applyAlignment="1" applyProtection="1">
      <alignment horizontal="center" vertical="center" wrapText="1"/>
      <protection locked="0"/>
    </xf>
    <xf numFmtId="0" fontId="14" fillId="11" borderId="7" xfId="3" applyFont="1" applyFill="1" applyBorder="1" applyAlignment="1">
      <alignment horizontal="center" vertical="center" wrapText="1"/>
    </xf>
    <xf numFmtId="9" fontId="8" fillId="0" borderId="7" xfId="2" applyFont="1" applyFill="1" applyBorder="1" applyAlignment="1" applyProtection="1">
      <alignment horizontal="center" vertical="center" wrapText="1"/>
    </xf>
    <xf numFmtId="0" fontId="9" fillId="0" borderId="0" xfId="0" applyFont="1" applyFill="1" applyProtection="1">
      <protection locked="0"/>
    </xf>
    <xf numFmtId="9" fontId="16" fillId="0" borderId="13" xfId="2" applyFont="1" applyFill="1" applyBorder="1" applyAlignment="1" applyProtection="1">
      <alignment horizontal="center" vertical="center"/>
      <protection locked="0"/>
    </xf>
    <xf numFmtId="9" fontId="16" fillId="0" borderId="7" xfId="2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7" xfId="0" applyFont="1" applyBorder="1" applyAlignment="1" applyProtection="1">
      <alignment wrapText="1"/>
      <protection locked="0"/>
    </xf>
    <xf numFmtId="0" fontId="14" fillId="0" borderId="7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 applyProtection="1">
      <alignment horizontal="center" vertical="center" wrapText="1"/>
      <protection locked="0"/>
    </xf>
    <xf numFmtId="0" fontId="8" fillId="0" borderId="11" xfId="3" applyFont="1" applyFill="1" applyBorder="1" applyAlignment="1" applyProtection="1">
      <alignment horizontal="center" vertical="center" wrapText="1"/>
      <protection locked="0"/>
    </xf>
    <xf numFmtId="9" fontId="8" fillId="0" borderId="11" xfId="3" applyNumberFormat="1" applyFont="1" applyFill="1" applyBorder="1" applyAlignment="1" applyProtection="1">
      <alignment horizontal="center" vertical="center" wrapText="1"/>
      <protection locked="0"/>
    </xf>
    <xf numFmtId="9" fontId="6" fillId="2" borderId="11" xfId="2" applyFont="1" applyFill="1" applyBorder="1" applyAlignment="1" applyProtection="1">
      <alignment horizontal="center" vertical="center" wrapText="1"/>
      <protection locked="0"/>
    </xf>
    <xf numFmtId="0" fontId="8" fillId="0" borderId="11" xfId="3" applyFont="1" applyFill="1" applyBorder="1" applyAlignment="1" applyProtection="1">
      <alignment horizontal="left" vertical="center" wrapText="1"/>
      <protection locked="0"/>
    </xf>
    <xf numFmtId="0" fontId="8" fillId="0" borderId="11" xfId="4" applyFont="1" applyFill="1" applyBorder="1" applyAlignment="1" applyProtection="1">
      <alignment horizontal="left" vertical="center" wrapText="1"/>
      <protection locked="0"/>
    </xf>
    <xf numFmtId="0" fontId="8" fillId="0" borderId="11" xfId="3" applyFont="1" applyFill="1" applyBorder="1" applyAlignment="1" applyProtection="1">
      <alignment horizontal="center" vertical="center" wrapText="1"/>
      <protection locked="0"/>
    </xf>
    <xf numFmtId="9" fontId="8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8" fillId="0" borderId="7" xfId="2" applyFont="1" applyFill="1" applyBorder="1" applyAlignment="1" applyProtection="1">
      <alignment horizontal="center" vertical="center"/>
      <protection locked="0"/>
    </xf>
    <xf numFmtId="9" fontId="9" fillId="0" borderId="7" xfId="2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43" fontId="8" fillId="0" borderId="7" xfId="1" applyFont="1" applyFill="1" applyBorder="1" applyAlignment="1" applyProtection="1">
      <alignment horizontal="center" vertical="center" wrapText="1"/>
    </xf>
    <xf numFmtId="43" fontId="8" fillId="0" borderId="7" xfId="1" applyNumberFormat="1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66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166" fontId="8" fillId="0" borderId="7" xfId="1" applyNumberFormat="1" applyFont="1" applyFill="1" applyBorder="1" applyAlignment="1" applyProtection="1">
      <alignment horizontal="center" vertical="center" wrapText="1"/>
    </xf>
    <xf numFmtId="166" fontId="16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1" fontId="8" fillId="0" borderId="7" xfId="2" applyNumberFormat="1" applyFont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9" fontId="8" fillId="0" borderId="7" xfId="3" applyNumberFormat="1" applyFont="1" applyFill="1" applyBorder="1" applyAlignment="1" applyProtection="1">
      <alignment vertical="center" wrapText="1"/>
      <protection locked="0"/>
    </xf>
    <xf numFmtId="0" fontId="26" fillId="14" borderId="20" xfId="0" applyFont="1" applyFill="1" applyBorder="1"/>
    <xf numFmtId="0" fontId="26" fillId="14" borderId="21" xfId="0" applyFont="1" applyFill="1" applyBorder="1"/>
    <xf numFmtId="0" fontId="26" fillId="14" borderId="22" xfId="0" applyFont="1" applyFill="1" applyBorder="1"/>
    <xf numFmtId="0" fontId="24" fillId="14" borderId="23" xfId="0" applyFont="1" applyFill="1" applyBorder="1"/>
    <xf numFmtId="0" fontId="26" fillId="14" borderId="0" xfId="0" applyFont="1" applyFill="1" applyBorder="1"/>
    <xf numFmtId="9" fontId="28" fillId="14" borderId="14" xfId="0" applyNumberFormat="1" applyFont="1" applyFill="1" applyBorder="1"/>
    <xf numFmtId="9" fontId="28" fillId="14" borderId="24" xfId="0" applyNumberFormat="1" applyFont="1" applyFill="1" applyBorder="1"/>
    <xf numFmtId="0" fontId="26" fillId="14" borderId="23" xfId="0" applyFont="1" applyFill="1" applyBorder="1"/>
    <xf numFmtId="0" fontId="26" fillId="14" borderId="25" xfId="0" applyFont="1" applyFill="1" applyBorder="1"/>
    <xf numFmtId="0" fontId="30" fillId="14" borderId="0" xfId="0" applyFont="1" applyFill="1" applyBorder="1"/>
    <xf numFmtId="9" fontId="31" fillId="14" borderId="7" xfId="0" applyNumberFormat="1" applyFont="1" applyFill="1" applyBorder="1"/>
    <xf numFmtId="0" fontId="32" fillId="14" borderId="25" xfId="6" applyFont="1" applyFill="1" applyBorder="1" applyAlignment="1" applyProtection="1"/>
    <xf numFmtId="0" fontId="32" fillId="14" borderId="26" xfId="6" applyFont="1" applyFill="1" applyBorder="1" applyAlignment="1" applyProtection="1"/>
    <xf numFmtId="0" fontId="30" fillId="14" borderId="25" xfId="0" applyFont="1" applyFill="1" applyBorder="1"/>
    <xf numFmtId="0" fontId="26" fillId="14" borderId="27" xfId="0" applyFont="1" applyFill="1" applyBorder="1"/>
    <xf numFmtId="0" fontId="32" fillId="14" borderId="0" xfId="6" applyFont="1" applyFill="1" applyBorder="1" applyAlignment="1" applyProtection="1"/>
    <xf numFmtId="0" fontId="33" fillId="14" borderId="23" xfId="0" applyFont="1" applyFill="1" applyBorder="1"/>
    <xf numFmtId="0" fontId="26" fillId="14" borderId="28" xfId="0" applyFont="1" applyFill="1" applyBorder="1"/>
    <xf numFmtId="0" fontId="30" fillId="14" borderId="10" xfId="0" applyFont="1" applyFill="1" applyBorder="1"/>
    <xf numFmtId="0" fontId="26" fillId="14" borderId="10" xfId="0" applyFont="1" applyFill="1" applyBorder="1"/>
    <xf numFmtId="0" fontId="30" fillId="14" borderId="29" xfId="0" applyFont="1" applyFill="1" applyBorder="1"/>
    <xf numFmtId="0" fontId="30" fillId="14" borderId="28" xfId="0" applyFont="1" applyFill="1" applyBorder="1"/>
    <xf numFmtId="0" fontId="26" fillId="14" borderId="29" xfId="0" applyFont="1" applyFill="1" applyBorder="1"/>
    <xf numFmtId="9" fontId="24" fillId="13" borderId="30" xfId="2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vertical="center" wrapText="1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24" fillId="14" borderId="0" xfId="0" applyFont="1" applyFill="1" applyBorder="1"/>
    <xf numFmtId="0" fontId="33" fillId="14" borderId="10" xfId="0" applyFont="1" applyFill="1" applyBorder="1"/>
    <xf numFmtId="0" fontId="0" fillId="15" borderId="0" xfId="0" applyFill="1" applyBorder="1"/>
    <xf numFmtId="0" fontId="26" fillId="15" borderId="19" xfId="0" applyFont="1" applyFill="1" applyBorder="1" applyAlignment="1">
      <alignment horizontal="center"/>
    </xf>
    <xf numFmtId="0" fontId="26" fillId="15" borderId="0" xfId="0" applyFont="1" applyFill="1" applyBorder="1"/>
    <xf numFmtId="0" fontId="26" fillId="15" borderId="7" xfId="0" applyFont="1" applyFill="1" applyBorder="1"/>
    <xf numFmtId="0" fontId="26" fillId="15" borderId="7" xfId="0" applyFont="1" applyFill="1" applyBorder="1" applyAlignment="1">
      <alignment horizontal="center"/>
    </xf>
    <xf numFmtId="9" fontId="26" fillId="15" borderId="0" xfId="0" applyNumberFormat="1" applyFont="1" applyFill="1" applyBorder="1"/>
    <xf numFmtId="0" fontId="0" fillId="0" borderId="26" xfId="0" applyBorder="1" applyAlignment="1">
      <alignment vertical="top" wrapText="1"/>
    </xf>
    <xf numFmtId="0" fontId="0" fillId="0" borderId="26" xfId="0" applyBorder="1" applyAlignment="1">
      <alignment vertical="center" wrapText="1"/>
    </xf>
    <xf numFmtId="0" fontId="0" fillId="15" borderId="22" xfId="0" applyFill="1" applyBorder="1"/>
    <xf numFmtId="0" fontId="0" fillId="15" borderId="25" xfId="0" applyFill="1" applyBorder="1"/>
    <xf numFmtId="0" fontId="0" fillId="15" borderId="29" xfId="0" applyFill="1" applyBorder="1"/>
    <xf numFmtId="9" fontId="31" fillId="14" borderId="11" xfId="0" applyNumberFormat="1" applyFont="1" applyFill="1" applyBorder="1"/>
    <xf numFmtId="9" fontId="16" fillId="2" borderId="13" xfId="2" applyFont="1" applyFill="1" applyBorder="1" applyAlignment="1" applyProtection="1">
      <alignment horizontal="center" vertical="center"/>
      <protection locked="0"/>
    </xf>
    <xf numFmtId="0" fontId="14" fillId="10" borderId="7" xfId="3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9" fontId="8" fillId="0" borderId="7" xfId="2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wrapText="1"/>
      <protection locked="0"/>
    </xf>
    <xf numFmtId="166" fontId="16" fillId="2" borderId="13" xfId="1" applyNumberFormat="1" applyFont="1" applyFill="1" applyBorder="1" applyAlignment="1" applyProtection="1">
      <alignment horizontal="center" vertical="center"/>
      <protection locked="0"/>
    </xf>
    <xf numFmtId="9" fontId="9" fillId="0" borderId="0" xfId="2" applyFont="1" applyFill="1" applyAlignment="1" applyProtection="1">
      <alignment horizontal="center" vertical="center"/>
      <protection locked="0"/>
    </xf>
    <xf numFmtId="9" fontId="6" fillId="0" borderId="7" xfId="2" applyFont="1" applyFill="1" applyBorder="1" applyAlignment="1" applyProtection="1">
      <alignment horizontal="center" vertical="center" wrapText="1"/>
      <protection locked="0"/>
    </xf>
    <xf numFmtId="9" fontId="8" fillId="0" borderId="13" xfId="2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wrapText="1"/>
      <protection locked="0"/>
    </xf>
    <xf numFmtId="0" fontId="0" fillId="0" borderId="13" xfId="0" applyBorder="1"/>
    <xf numFmtId="0" fontId="9" fillId="0" borderId="7" xfId="0" applyFont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9" fontId="9" fillId="0" borderId="7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9" fontId="9" fillId="0" borderId="7" xfId="2" applyFont="1" applyFill="1" applyBorder="1" applyAlignment="1" applyProtection="1">
      <alignment horizontal="center" vertical="center" wrapText="1"/>
    </xf>
    <xf numFmtId="1" fontId="9" fillId="0" borderId="7" xfId="1" applyNumberFormat="1" applyFont="1" applyFill="1" applyBorder="1" applyAlignment="1" applyProtection="1">
      <alignment horizontal="center" vertical="center"/>
    </xf>
    <xf numFmtId="9" fontId="31" fillId="0" borderId="7" xfId="0" applyNumberFormat="1" applyFont="1" applyFill="1" applyBorder="1"/>
    <xf numFmtId="0" fontId="26" fillId="15" borderId="7" xfId="0" applyNumberFormat="1" applyFont="1" applyFill="1" applyBorder="1" applyAlignment="1">
      <alignment horizontal="center"/>
    </xf>
    <xf numFmtId="0" fontId="8" fillId="0" borderId="7" xfId="2" applyNumberFormat="1" applyFont="1" applyFill="1" applyBorder="1" applyAlignment="1" applyProtection="1">
      <alignment horizontal="center" vertical="center" wrapText="1"/>
    </xf>
    <xf numFmtId="0" fontId="8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26" fillId="15" borderId="3" xfId="0" applyFont="1" applyFill="1" applyBorder="1"/>
    <xf numFmtId="0" fontId="0" fillId="0" borderId="0" xfId="0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9" fontId="9" fillId="0" borderId="7" xfId="2" applyNumberFormat="1" applyFont="1" applyFill="1" applyBorder="1" applyAlignment="1" applyProtection="1">
      <alignment horizontal="center" vertical="center"/>
    </xf>
    <xf numFmtId="9" fontId="36" fillId="14" borderId="33" xfId="0" applyNumberFormat="1" applyFont="1" applyFill="1" applyBorder="1"/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9" fontId="16" fillId="0" borderId="11" xfId="2" applyFont="1" applyFill="1" applyBorder="1" applyAlignment="1" applyProtection="1">
      <alignment horizontal="center" vertical="center"/>
      <protection locked="0"/>
    </xf>
    <xf numFmtId="0" fontId="6" fillId="2" borderId="35" xfId="3" applyFont="1" applyFill="1" applyBorder="1" applyAlignment="1" applyProtection="1">
      <alignment horizontal="center" vertical="center" wrapText="1"/>
      <protection locked="0"/>
    </xf>
    <xf numFmtId="9" fontId="6" fillId="2" borderId="4" xfId="2" applyFont="1" applyFill="1" applyBorder="1" applyAlignment="1" applyProtection="1">
      <alignment horizontal="center" vertical="center" wrapText="1"/>
      <protection locked="0"/>
    </xf>
    <xf numFmtId="9" fontId="8" fillId="0" borderId="4" xfId="2" applyFont="1" applyFill="1" applyBorder="1" applyAlignment="1" applyProtection="1">
      <alignment horizontal="center" vertical="center" wrapText="1"/>
      <protection locked="0"/>
    </xf>
    <xf numFmtId="9" fontId="8" fillId="0" borderId="24" xfId="2" applyFont="1" applyFill="1" applyBorder="1" applyAlignment="1" applyProtection="1">
      <alignment horizontal="center" vertical="center"/>
      <protection locked="0"/>
    </xf>
    <xf numFmtId="166" fontId="9" fillId="0" borderId="38" xfId="1" applyNumberFormat="1" applyFont="1" applyBorder="1" applyAlignment="1" applyProtection="1">
      <alignment wrapText="1"/>
      <protection locked="0"/>
    </xf>
    <xf numFmtId="166" fontId="16" fillId="0" borderId="42" xfId="1" applyNumberFormat="1" applyFont="1" applyFill="1" applyBorder="1" applyAlignment="1" applyProtection="1">
      <alignment horizontal="center" vertical="center"/>
      <protection locked="0"/>
    </xf>
    <xf numFmtId="9" fontId="16" fillId="2" borderId="31" xfId="2" applyFont="1" applyFill="1" applyBorder="1" applyAlignment="1" applyProtection="1">
      <alignment horizontal="center" vertical="center"/>
      <protection locked="0"/>
    </xf>
    <xf numFmtId="166" fontId="9" fillId="0" borderId="21" xfId="1" applyNumberFormat="1" applyFont="1" applyBorder="1" applyAlignment="1" applyProtection="1">
      <alignment horizontal="center" vertical="center"/>
      <protection locked="0"/>
    </xf>
    <xf numFmtId="166" fontId="9" fillId="0" borderId="22" xfId="1" applyNumberFormat="1" applyFont="1" applyBorder="1" applyProtection="1">
      <protection locked="0"/>
    </xf>
    <xf numFmtId="166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9" fontId="6" fillId="4" borderId="4" xfId="2" applyFont="1" applyFill="1" applyBorder="1" applyAlignment="1" applyProtection="1">
      <alignment horizontal="center" vertical="center" wrapText="1"/>
      <protection locked="0"/>
    </xf>
    <xf numFmtId="9" fontId="6" fillId="4" borderId="24" xfId="2" applyFont="1" applyFill="1" applyBorder="1" applyAlignment="1" applyProtection="1">
      <alignment horizontal="center" vertical="center" wrapText="1"/>
      <protection locked="0"/>
    </xf>
    <xf numFmtId="9" fontId="9" fillId="7" borderId="4" xfId="2" applyFont="1" applyFill="1" applyBorder="1" applyAlignment="1" applyProtection="1">
      <alignment horizontal="center" vertical="center"/>
    </xf>
    <xf numFmtId="9" fontId="9" fillId="7" borderId="24" xfId="2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24" xfId="0" applyFont="1" applyFill="1" applyBorder="1" applyAlignment="1" applyProtection="1">
      <alignment horizontal="justify" vertical="center"/>
      <protection locked="0"/>
    </xf>
    <xf numFmtId="0" fontId="9" fillId="0" borderId="4" xfId="0" applyFont="1" applyBorder="1" applyProtection="1">
      <protection locked="0"/>
    </xf>
    <xf numFmtId="0" fontId="9" fillId="0" borderId="24" xfId="0" applyFont="1" applyFill="1" applyBorder="1" applyAlignment="1" applyProtection="1">
      <alignment horizontal="justify" vertical="top"/>
      <protection locked="0"/>
    </xf>
    <xf numFmtId="0" fontId="9" fillId="0" borderId="8" xfId="0" applyFont="1" applyFill="1" applyBorder="1" applyProtection="1">
      <protection locked="0"/>
    </xf>
    <xf numFmtId="0" fontId="15" fillId="0" borderId="40" xfId="0" applyFont="1" applyFill="1" applyBorder="1" applyAlignment="1" applyProtection="1">
      <alignment horizontal="justify" vertical="top"/>
      <protection locked="0"/>
    </xf>
    <xf numFmtId="0" fontId="9" fillId="0" borderId="40" xfId="0" applyFont="1" applyFill="1" applyBorder="1" applyAlignment="1" applyProtection="1">
      <alignment horizontal="justify" vertical="top"/>
      <protection locked="0"/>
    </xf>
    <xf numFmtId="0" fontId="9" fillId="0" borderId="41" xfId="0" applyFont="1" applyFill="1" applyBorder="1" applyProtection="1">
      <protection locked="0"/>
    </xf>
    <xf numFmtId="166" fontId="9" fillId="0" borderId="20" xfId="1" applyNumberFormat="1" applyFont="1" applyBorder="1" applyAlignment="1" applyProtection="1">
      <alignment horizontal="center" vertical="center"/>
      <protection locked="0"/>
    </xf>
    <xf numFmtId="9" fontId="16" fillId="0" borderId="42" xfId="2" applyFont="1" applyFill="1" applyBorder="1" applyAlignment="1" applyProtection="1">
      <alignment horizontal="center" vertical="center"/>
      <protection locked="0"/>
    </xf>
    <xf numFmtId="9" fontId="16" fillId="0" borderId="31" xfId="2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9" fillId="0" borderId="22" xfId="0" applyFont="1" applyBorder="1" applyProtection="1">
      <protection locked="0"/>
    </xf>
    <xf numFmtId="166" fontId="8" fillId="0" borderId="24" xfId="1" applyNumberFormat="1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 wrapText="1"/>
    </xf>
    <xf numFmtId="9" fontId="6" fillId="2" borderId="35" xfId="2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0" borderId="22" xfId="0" applyBorder="1"/>
    <xf numFmtId="0" fontId="0" fillId="0" borderId="21" xfId="0" applyBorder="1"/>
    <xf numFmtId="166" fontId="16" fillId="2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9" fontId="6" fillId="2" borderId="1" xfId="2" applyFont="1" applyFill="1" applyBorder="1" applyAlignment="1" applyProtection="1">
      <alignment horizontal="center" vertical="center" wrapText="1"/>
      <protection locked="0"/>
    </xf>
    <xf numFmtId="9" fontId="8" fillId="0" borderId="24" xfId="0" applyNumberFormat="1" applyFont="1" applyBorder="1" applyAlignment="1">
      <alignment horizontal="center" vertical="center" wrapText="1"/>
    </xf>
    <xf numFmtId="0" fontId="9" fillId="0" borderId="40" xfId="0" applyFont="1" applyBorder="1" applyAlignment="1" applyProtection="1">
      <alignment wrapText="1"/>
      <protection locked="0"/>
    </xf>
    <xf numFmtId="0" fontId="9" fillId="0" borderId="38" xfId="0" applyFont="1" applyBorder="1" applyAlignment="1" applyProtection="1">
      <alignment wrapText="1"/>
      <protection locked="0"/>
    </xf>
    <xf numFmtId="9" fontId="0" fillId="0" borderId="42" xfId="0" applyNumberFormat="1" applyBorder="1"/>
    <xf numFmtId="0" fontId="9" fillId="0" borderId="8" xfId="0" applyFont="1" applyBorder="1" applyAlignment="1" applyProtection="1">
      <alignment wrapText="1"/>
      <protection locked="0"/>
    </xf>
    <xf numFmtId="0" fontId="0" fillId="0" borderId="42" xfId="0" applyBorder="1"/>
    <xf numFmtId="9" fontId="8" fillId="0" borderId="4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Protection="1">
      <protection locked="0"/>
    </xf>
    <xf numFmtId="0" fontId="6" fillId="2" borderId="36" xfId="3" applyFont="1" applyFill="1" applyBorder="1" applyAlignment="1" applyProtection="1">
      <alignment horizontal="center" vertical="center" wrapText="1"/>
      <protection locked="0"/>
    </xf>
    <xf numFmtId="9" fontId="9" fillId="0" borderId="20" xfId="2" applyFont="1" applyBorder="1" applyAlignment="1" applyProtection="1">
      <alignment horizontal="center" vertical="center"/>
      <protection locked="0"/>
    </xf>
    <xf numFmtId="9" fontId="8" fillId="0" borderId="4" xfId="2" applyFont="1" applyFill="1" applyBorder="1" applyAlignment="1" applyProtection="1">
      <alignment horizontal="center" vertical="center"/>
      <protection locked="0"/>
    </xf>
    <xf numFmtId="9" fontId="9" fillId="0" borderId="21" xfId="2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/>
    </xf>
    <xf numFmtId="9" fontId="8" fillId="0" borderId="14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9" fontId="8" fillId="0" borderId="14" xfId="2" applyFont="1" applyBorder="1" applyAlignment="1">
      <alignment horizontal="center" vertical="center"/>
    </xf>
    <xf numFmtId="0" fontId="6" fillId="2" borderId="37" xfId="3" applyFont="1" applyFill="1" applyBorder="1" applyAlignment="1" applyProtection="1">
      <alignment horizontal="center" vertical="center" wrapText="1"/>
      <protection locked="0"/>
    </xf>
    <xf numFmtId="9" fontId="8" fillId="5" borderId="24" xfId="2" applyFont="1" applyFill="1" applyBorder="1" applyAlignment="1" applyProtection="1">
      <alignment horizontal="center" vertical="center"/>
      <protection locked="0"/>
    </xf>
    <xf numFmtId="9" fontId="8" fillId="3" borderId="4" xfId="2" applyFont="1" applyFill="1" applyBorder="1" applyAlignment="1" applyProtection="1">
      <alignment horizontal="center" vertical="center" wrapText="1"/>
      <protection locked="0"/>
    </xf>
    <xf numFmtId="9" fontId="8" fillId="3" borderId="24" xfId="2" applyFont="1" applyFill="1" applyBorder="1" applyAlignment="1" applyProtection="1">
      <alignment horizontal="center" vertical="center"/>
      <protection locked="0"/>
    </xf>
    <xf numFmtId="9" fontId="8" fillId="10" borderId="4" xfId="2" applyFont="1" applyFill="1" applyBorder="1" applyAlignment="1" applyProtection="1">
      <alignment horizontal="center" vertical="center" wrapText="1"/>
      <protection locked="0"/>
    </xf>
    <xf numFmtId="9" fontId="8" fillId="10" borderId="24" xfId="2" applyFont="1" applyFill="1" applyBorder="1" applyAlignment="1" applyProtection="1">
      <alignment horizontal="center" vertical="center"/>
      <protection locked="0"/>
    </xf>
    <xf numFmtId="9" fontId="8" fillId="11" borderId="4" xfId="2" applyFont="1" applyFill="1" applyBorder="1" applyAlignment="1" applyProtection="1">
      <alignment horizontal="center" vertical="center" wrapText="1"/>
      <protection locked="0"/>
    </xf>
    <xf numFmtId="9" fontId="8" fillId="11" borderId="24" xfId="2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9" fillId="0" borderId="21" xfId="0" applyFont="1" applyBorder="1" applyAlignment="1" applyProtection="1">
      <alignment wrapText="1"/>
      <protection locked="0"/>
    </xf>
    <xf numFmtId="0" fontId="9" fillId="0" borderId="38" xfId="0" applyFont="1" applyFill="1" applyBorder="1" applyAlignment="1" applyProtection="1">
      <alignment wrapText="1"/>
      <protection locked="0"/>
    </xf>
    <xf numFmtId="9" fontId="9" fillId="0" borderId="20" xfId="2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Protection="1">
      <protection locked="0"/>
    </xf>
    <xf numFmtId="0" fontId="9" fillId="0" borderId="8" xfId="0" applyFont="1" applyFill="1" applyBorder="1" applyAlignment="1" applyProtection="1">
      <alignment wrapText="1"/>
      <protection locked="0"/>
    </xf>
    <xf numFmtId="9" fontId="6" fillId="0" borderId="4" xfId="2" applyFont="1" applyFill="1" applyBorder="1" applyAlignment="1" applyProtection="1">
      <alignment horizontal="center" vertical="center" wrapText="1"/>
      <protection locked="0"/>
    </xf>
    <xf numFmtId="9" fontId="6" fillId="0" borderId="24" xfId="2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wrapText="1"/>
      <protection locked="0"/>
    </xf>
    <xf numFmtId="0" fontId="9" fillId="0" borderId="20" xfId="0" applyFont="1" applyFill="1" applyBorder="1" applyProtection="1">
      <protection locked="0"/>
    </xf>
    <xf numFmtId="0" fontId="9" fillId="0" borderId="22" xfId="0" applyFont="1" applyFill="1" applyBorder="1" applyProtection="1">
      <protection locked="0"/>
    </xf>
    <xf numFmtId="9" fontId="6" fillId="2" borderId="24" xfId="2" applyFont="1" applyFill="1" applyBorder="1" applyAlignment="1" applyProtection="1">
      <alignment horizontal="center" vertical="center" wrapText="1"/>
      <protection locked="0"/>
    </xf>
    <xf numFmtId="9" fontId="8" fillId="0" borderId="24" xfId="2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horizontal="center"/>
    </xf>
    <xf numFmtId="9" fontId="16" fillId="0" borderId="6" xfId="2" applyFont="1" applyFill="1" applyBorder="1" applyAlignment="1" applyProtection="1">
      <alignment horizontal="center" vertical="center"/>
      <protection locked="0"/>
    </xf>
    <xf numFmtId="9" fontId="16" fillId="2" borderId="11" xfId="2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wrapText="1"/>
      <protection locked="0"/>
    </xf>
    <xf numFmtId="9" fontId="35" fillId="2" borderId="35" xfId="2" applyFont="1" applyFill="1" applyBorder="1" applyAlignment="1" applyProtection="1">
      <alignment horizontal="center" vertical="center" wrapText="1"/>
      <protection locked="0"/>
    </xf>
    <xf numFmtId="0" fontId="35" fillId="2" borderId="36" xfId="3" applyFont="1" applyFill="1" applyBorder="1" applyAlignment="1" applyProtection="1">
      <alignment horizontal="center" vertical="center" wrapText="1"/>
      <protection locked="0"/>
    </xf>
    <xf numFmtId="0" fontId="8" fillId="0" borderId="24" xfId="5" applyFont="1" applyBorder="1" applyAlignment="1">
      <alignment horizontal="center" vertical="center" wrapText="1"/>
    </xf>
    <xf numFmtId="43" fontId="16" fillId="2" borderId="13" xfId="1" applyFont="1" applyFill="1" applyBorder="1" applyAlignment="1" applyProtection="1">
      <alignment horizontal="center" vertical="center"/>
      <protection locked="0"/>
    </xf>
    <xf numFmtId="43" fontId="16" fillId="0" borderId="42" xfId="1" applyFont="1" applyFill="1" applyBorder="1" applyAlignment="1" applyProtection="1">
      <alignment horizontal="center" vertical="center"/>
      <protection locked="0"/>
    </xf>
    <xf numFmtId="43" fontId="16" fillId="0" borderId="31" xfId="1" applyFont="1" applyFill="1" applyBorder="1" applyAlignment="1" applyProtection="1">
      <alignment horizontal="center" vertical="center"/>
      <protection locked="0"/>
    </xf>
    <xf numFmtId="43" fontId="16" fillId="2" borderId="31" xfId="1" applyFont="1" applyFill="1" applyBorder="1" applyAlignment="1" applyProtection="1">
      <alignment horizontal="center" vertical="center"/>
      <protection locked="0"/>
    </xf>
    <xf numFmtId="43" fontId="8" fillId="0" borderId="4" xfId="1" applyNumberFormat="1" applyFont="1" applyFill="1" applyBorder="1" applyAlignment="1" applyProtection="1">
      <alignment horizontal="center" vertical="center" wrapText="1"/>
    </xf>
    <xf numFmtId="43" fontId="8" fillId="0" borderId="24" xfId="1" applyNumberFormat="1" applyFont="1" applyFill="1" applyBorder="1" applyAlignment="1" applyProtection="1">
      <alignment horizontal="center" vertical="center"/>
      <protection locked="0"/>
    </xf>
    <xf numFmtId="9" fontId="8" fillId="2" borderId="7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6" fillId="2" borderId="36" xfId="3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9" fontId="6" fillId="2" borderId="31" xfId="2" applyFont="1" applyFill="1" applyBorder="1" applyAlignment="1" applyProtection="1">
      <alignment horizontal="center" vertical="center" wrapText="1"/>
      <protection locked="0"/>
    </xf>
    <xf numFmtId="9" fontId="6" fillId="2" borderId="13" xfId="2" applyFont="1" applyFill="1" applyBorder="1" applyAlignment="1" applyProtection="1">
      <alignment horizontal="center" vertical="center" wrapText="1"/>
      <protection locked="0"/>
    </xf>
    <xf numFmtId="9" fontId="8" fillId="0" borderId="13" xfId="2" applyFont="1" applyFill="1" applyBorder="1" applyAlignment="1" applyProtection="1">
      <alignment horizontal="center" vertical="center" wrapText="1"/>
      <protection locked="0"/>
    </xf>
    <xf numFmtId="166" fontId="9" fillId="0" borderId="22" xfId="1" applyNumberFormat="1" applyFont="1" applyBorder="1" applyAlignment="1" applyProtection="1">
      <alignment horizontal="center" vertical="center"/>
      <protection locked="0"/>
    </xf>
    <xf numFmtId="166" fontId="16" fillId="0" borderId="31" xfId="1" applyNumberFormat="1" applyFont="1" applyFill="1" applyBorder="1" applyAlignment="1" applyProtection="1">
      <alignment horizontal="center" vertical="center"/>
      <protection locked="0"/>
    </xf>
    <xf numFmtId="9" fontId="8" fillId="0" borderId="48" xfId="2" applyFont="1" applyFill="1" applyBorder="1" applyAlignment="1" applyProtection="1">
      <alignment horizontal="center" vertical="center"/>
      <protection locked="0"/>
    </xf>
    <xf numFmtId="166" fontId="16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4" xfId="5" applyFont="1" applyBorder="1" applyAlignment="1">
      <alignment horizontal="center" vertical="center" wrapText="1"/>
    </xf>
    <xf numFmtId="9" fontId="8" fillId="2" borderId="11" xfId="2" applyFont="1" applyFill="1" applyBorder="1" applyAlignment="1" applyProtection="1">
      <alignment horizontal="center" vertical="center" wrapText="1"/>
      <protection locked="0"/>
    </xf>
    <xf numFmtId="9" fontId="9" fillId="0" borderId="14" xfId="2" applyFont="1" applyFill="1" applyBorder="1" applyAlignment="1" applyProtection="1">
      <alignment horizontal="center" vertical="center"/>
    </xf>
    <xf numFmtId="9" fontId="9" fillId="0" borderId="14" xfId="2" applyFont="1" applyFill="1" applyBorder="1" applyAlignment="1" applyProtection="1">
      <alignment horizontal="center" vertical="center" wrapText="1"/>
    </xf>
    <xf numFmtId="1" fontId="9" fillId="0" borderId="14" xfId="1" applyNumberFormat="1" applyFont="1" applyFill="1" applyBorder="1" applyAlignment="1" applyProtection="1">
      <alignment horizontal="center" vertical="center"/>
    </xf>
    <xf numFmtId="9" fontId="15" fillId="0" borderId="7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6" fillId="2" borderId="36" xfId="3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>
      <alignment vertical="center" textRotation="90" wrapText="1"/>
    </xf>
    <xf numFmtId="0" fontId="18" fillId="0" borderId="7" xfId="0" applyFont="1" applyBorder="1" applyAlignment="1">
      <alignment textRotation="90" wrapText="1"/>
    </xf>
    <xf numFmtId="0" fontId="18" fillId="0" borderId="7" xfId="0" applyFont="1" applyBorder="1" applyAlignment="1">
      <alignment textRotation="90"/>
    </xf>
    <xf numFmtId="9" fontId="8" fillId="0" borderId="7" xfId="2" applyFont="1" applyFill="1" applyBorder="1" applyAlignment="1" applyProtection="1">
      <alignment vertical="center"/>
    </xf>
    <xf numFmtId="9" fontId="8" fillId="0" borderId="14" xfId="0" applyNumberFormat="1" applyFont="1" applyBorder="1" applyAlignment="1">
      <alignment horizontal="center" vertical="center" wrapText="1"/>
    </xf>
    <xf numFmtId="0" fontId="6" fillId="2" borderId="57" xfId="3" applyFont="1" applyFill="1" applyBorder="1" applyAlignment="1" applyProtection="1">
      <alignment horizontal="center" vertical="center" wrapText="1"/>
      <protection locked="0"/>
    </xf>
    <xf numFmtId="9" fontId="16" fillId="0" borderId="4" xfId="2" applyFont="1" applyFill="1" applyBorder="1" applyAlignment="1" applyProtection="1">
      <alignment horizontal="center" vertical="center"/>
      <protection locked="0"/>
    </xf>
    <xf numFmtId="9" fontId="9" fillId="0" borderId="28" xfId="2" applyFont="1" applyBorder="1" applyAlignment="1" applyProtection="1">
      <alignment horizontal="center" vertical="center"/>
      <protection locked="0"/>
    </xf>
    <xf numFmtId="0" fontId="9" fillId="0" borderId="10" xfId="0" applyFont="1" applyBorder="1" applyProtection="1">
      <protection locked="0"/>
    </xf>
    <xf numFmtId="0" fontId="0" fillId="0" borderId="10" xfId="0" applyBorder="1"/>
    <xf numFmtId="0" fontId="14" fillId="0" borderId="16" xfId="3" applyFont="1" applyBorder="1" applyAlignment="1">
      <alignment horizontal="center" vertical="center" wrapText="1"/>
    </xf>
    <xf numFmtId="0" fontId="6" fillId="0" borderId="50" xfId="3" applyFont="1" applyBorder="1" applyAlignment="1">
      <alignment vertical="center" wrapText="1"/>
    </xf>
    <xf numFmtId="0" fontId="9" fillId="0" borderId="16" xfId="3" applyFont="1" applyBorder="1" applyAlignment="1">
      <alignment horizontal="center" vertical="center" wrapText="1"/>
    </xf>
    <xf numFmtId="9" fontId="9" fillId="0" borderId="16" xfId="2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9" fontId="8" fillId="0" borderId="42" xfId="2" applyFont="1" applyFill="1" applyBorder="1" applyAlignment="1" applyProtection="1">
      <alignment horizontal="center" vertical="center" wrapText="1"/>
      <protection locked="0"/>
    </xf>
    <xf numFmtId="9" fontId="8" fillId="0" borderId="31" xfId="2" applyFont="1" applyFill="1" applyBorder="1" applyAlignment="1" applyProtection="1">
      <alignment horizontal="center" vertical="center" wrapText="1"/>
      <protection locked="0"/>
    </xf>
    <xf numFmtId="9" fontId="8" fillId="0" borderId="31" xfId="2" applyFont="1" applyFill="1" applyBorder="1" applyAlignment="1" applyProtection="1">
      <alignment horizontal="center" vertical="center"/>
    </xf>
    <xf numFmtId="0" fontId="9" fillId="0" borderId="42" xfId="0" applyFont="1" applyBorder="1" applyProtection="1">
      <protection locked="0"/>
    </xf>
    <xf numFmtId="0" fontId="8" fillId="0" borderId="11" xfId="0" applyFont="1" applyFill="1" applyBorder="1" applyAlignment="1" applyProtection="1">
      <alignment horizontal="justify" vertical="top"/>
      <protection locked="0"/>
    </xf>
    <xf numFmtId="0" fontId="9" fillId="0" borderId="11" xfId="0" applyFont="1" applyFill="1" applyBorder="1" applyAlignment="1" applyProtection="1">
      <alignment horizontal="justify" vertical="top"/>
      <protection locked="0"/>
    </xf>
    <xf numFmtId="0" fontId="9" fillId="0" borderId="45" xfId="0" applyFont="1" applyFill="1" applyBorder="1" applyProtection="1">
      <protection locked="0"/>
    </xf>
    <xf numFmtId="0" fontId="8" fillId="17" borderId="7" xfId="3" applyFont="1" applyFill="1" applyBorder="1" applyAlignment="1" applyProtection="1">
      <alignment horizontal="center" vertical="center" wrapText="1"/>
      <protection locked="0"/>
    </xf>
    <xf numFmtId="0" fontId="6" fillId="2" borderId="36" xfId="3" applyFont="1" applyFill="1" applyBorder="1" applyAlignment="1" applyProtection="1">
      <alignment horizontal="center" vertical="center" wrapText="1"/>
      <protection locked="0"/>
    </xf>
    <xf numFmtId="0" fontId="14" fillId="0" borderId="11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  <protection locked="0"/>
    </xf>
    <xf numFmtId="9" fontId="14" fillId="0" borderId="11" xfId="2" applyFont="1" applyBorder="1" applyAlignment="1">
      <alignment horizontal="center" vertical="center" wrapText="1"/>
    </xf>
    <xf numFmtId="9" fontId="0" fillId="0" borderId="0" xfId="2" applyFont="1"/>
    <xf numFmtId="9" fontId="8" fillId="0" borderId="48" xfId="2" applyFont="1" applyFill="1" applyBorder="1" applyAlignment="1" applyProtection="1">
      <alignment horizontal="center" vertical="center" wrapText="1"/>
      <protection locked="0"/>
    </xf>
    <xf numFmtId="10" fontId="9" fillId="0" borderId="0" xfId="2" applyNumberFormat="1" applyFont="1" applyAlignment="1" applyProtection="1">
      <alignment horizontal="center" vertical="center"/>
      <protection locked="0"/>
    </xf>
    <xf numFmtId="9" fontId="0" fillId="0" borderId="7" xfId="2" applyFont="1" applyBorder="1" applyAlignment="1">
      <alignment horizontal="center" vertical="center" wrapText="1"/>
    </xf>
    <xf numFmtId="9" fontId="4" fillId="0" borderId="7" xfId="2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164" fontId="9" fillId="0" borderId="7" xfId="2" applyNumberFormat="1" applyFont="1" applyBorder="1" applyAlignment="1" applyProtection="1">
      <alignment horizontal="center" vertical="center"/>
      <protection locked="0"/>
    </xf>
    <xf numFmtId="9" fontId="0" fillId="0" borderId="7" xfId="2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7" xfId="3" applyFont="1" applyFill="1" applyBorder="1" applyAlignment="1" applyProtection="1">
      <alignment vertical="center" wrapText="1"/>
      <protection locked="0"/>
    </xf>
    <xf numFmtId="9" fontId="9" fillId="0" borderId="7" xfId="2" applyFont="1" applyFill="1" applyBorder="1" applyAlignment="1" applyProtection="1">
      <alignment vertical="center" wrapText="1"/>
      <protection locked="0"/>
    </xf>
    <xf numFmtId="0" fontId="9" fillId="0" borderId="14" xfId="3" applyFont="1" applyFill="1" applyBorder="1" applyAlignment="1" applyProtection="1">
      <alignment vertical="center" wrapText="1"/>
      <protection locked="0"/>
    </xf>
    <xf numFmtId="0" fontId="9" fillId="0" borderId="12" xfId="3" applyFont="1" applyFill="1" applyBorder="1" applyAlignment="1" applyProtection="1">
      <alignment vertical="center" wrapText="1"/>
      <protection locked="0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9" fontId="4" fillId="0" borderId="7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0" fillId="0" borderId="7" xfId="2" applyNumberFormat="1" applyFont="1" applyBorder="1" applyAlignment="1">
      <alignment horizontal="center"/>
    </xf>
    <xf numFmtId="9" fontId="9" fillId="0" borderId="7" xfId="0" applyNumberFormat="1" applyFont="1" applyBorder="1" applyAlignment="1" applyProtection="1">
      <alignment horizontal="center"/>
      <protection locked="0"/>
    </xf>
    <xf numFmtId="0" fontId="9" fillId="0" borderId="7" xfId="0" applyFont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14" fillId="0" borderId="11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9" fontId="14" fillId="0" borderId="11" xfId="2" applyFont="1" applyBorder="1" applyAlignment="1">
      <alignment horizontal="center" vertical="center" wrapText="1"/>
    </xf>
    <xf numFmtId="0" fontId="9" fillId="0" borderId="42" xfId="3" applyFont="1" applyBorder="1" applyAlignment="1">
      <alignment vertical="center" wrapText="1"/>
    </xf>
    <xf numFmtId="0" fontId="9" fillId="0" borderId="50" xfId="3" applyFont="1" applyBorder="1" applyAlignment="1">
      <alignment vertical="center" wrapText="1"/>
    </xf>
    <xf numFmtId="0" fontId="9" fillId="0" borderId="11" xfId="3" applyFont="1" applyBorder="1" applyAlignment="1">
      <alignment horizontal="center" vertical="center" wrapText="1"/>
    </xf>
    <xf numFmtId="9" fontId="14" fillId="0" borderId="16" xfId="2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7" borderId="12" xfId="0" applyFont="1" applyFill="1" applyBorder="1" applyAlignment="1" applyProtection="1">
      <alignment vertical="center"/>
      <protection locked="0"/>
    </xf>
    <xf numFmtId="0" fontId="11" fillId="7" borderId="13" xfId="0" applyFont="1" applyFill="1" applyBorder="1" applyAlignment="1" applyProtection="1">
      <alignment vertical="center"/>
      <protection locked="0"/>
    </xf>
    <xf numFmtId="9" fontId="11" fillId="7" borderId="7" xfId="0" applyNumberFormat="1" applyFont="1" applyFill="1" applyBorder="1" applyAlignment="1" applyProtection="1">
      <alignment vertical="center"/>
      <protection locked="0"/>
    </xf>
    <xf numFmtId="9" fontId="0" fillId="0" borderId="7" xfId="2" applyFont="1" applyBorder="1"/>
    <xf numFmtId="9" fontId="0" fillId="0" borderId="7" xfId="0" applyNumberFormat="1" applyBorder="1"/>
    <xf numFmtId="9" fontId="0" fillId="0" borderId="7" xfId="2" applyNumberFormat="1" applyFont="1" applyBorder="1" applyAlignment="1">
      <alignment horizontal="center"/>
    </xf>
    <xf numFmtId="43" fontId="9" fillId="0" borderId="7" xfId="2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9" fontId="9" fillId="0" borderId="11" xfId="2" applyFont="1" applyFill="1" applyBorder="1" applyAlignment="1" applyProtection="1">
      <alignment horizontal="center" vertical="center"/>
    </xf>
    <xf numFmtId="9" fontId="16" fillId="2" borderId="24" xfId="2" applyFont="1" applyFill="1" applyBorder="1" applyAlignment="1" applyProtection="1">
      <alignment vertical="center"/>
      <protection locked="0"/>
    </xf>
    <xf numFmtId="9" fontId="0" fillId="0" borderId="7" xfId="0" applyNumberFormat="1" applyBorder="1" applyAlignment="1">
      <alignment horizontal="center"/>
    </xf>
    <xf numFmtId="0" fontId="8" fillId="5" borderId="7" xfId="5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9" fontId="8" fillId="5" borderId="4" xfId="2" applyFont="1" applyFill="1" applyBorder="1" applyAlignment="1" applyProtection="1">
      <alignment horizontal="center" vertical="center" wrapText="1"/>
      <protection locked="0"/>
    </xf>
    <xf numFmtId="0" fontId="8" fillId="10" borderId="7" xfId="5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9" fontId="8" fillId="10" borderId="7" xfId="2" applyFont="1" applyFill="1" applyBorder="1" applyAlignment="1" applyProtection="1">
      <alignment horizontal="center" vertical="center"/>
    </xf>
    <xf numFmtId="0" fontId="8" fillId="7" borderId="15" xfId="5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9" fontId="8" fillId="7" borderId="4" xfId="2" applyFont="1" applyFill="1" applyBorder="1" applyAlignment="1" applyProtection="1">
      <alignment horizontal="center" vertical="center" wrapText="1"/>
      <protection locked="0"/>
    </xf>
    <xf numFmtId="1" fontId="9" fillId="0" borderId="5" xfId="1" applyNumberFormat="1" applyFont="1" applyFill="1" applyBorder="1" applyAlignment="1" applyProtection="1">
      <alignment horizontal="center" vertical="center"/>
    </xf>
    <xf numFmtId="0" fontId="14" fillId="0" borderId="7" xfId="3" applyFont="1" applyFill="1" applyBorder="1" applyAlignment="1">
      <alignment horizontal="center" vertical="top" wrapText="1"/>
    </xf>
    <xf numFmtId="0" fontId="9" fillId="0" borderId="58" xfId="0" applyFont="1" applyBorder="1" applyAlignment="1" applyProtection="1">
      <alignment wrapText="1"/>
      <protection locked="0"/>
    </xf>
    <xf numFmtId="0" fontId="9" fillId="0" borderId="11" xfId="0" applyFont="1" applyFill="1" applyBorder="1" applyAlignment="1">
      <alignment horizontal="left" vertical="center" wrapText="1"/>
    </xf>
    <xf numFmtId="9" fontId="9" fillId="0" borderId="7" xfId="2" applyNumberFormat="1" applyFont="1" applyFill="1" applyBorder="1" applyAlignment="1" applyProtection="1">
      <alignment horizontal="center" vertical="center" wrapText="1"/>
    </xf>
    <xf numFmtId="9" fontId="8" fillId="0" borderId="7" xfId="2" applyFont="1" applyFill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9" fontId="8" fillId="0" borderId="48" xfId="2" applyFont="1" applyFill="1" applyBorder="1" applyAlignment="1" applyProtection="1">
      <alignment horizontal="center" vertical="center" wrapText="1"/>
      <protection locked="0"/>
    </xf>
    <xf numFmtId="0" fontId="6" fillId="0" borderId="50" xfId="3" applyFont="1" applyBorder="1" applyAlignment="1">
      <alignment vertical="center" wrapText="1"/>
    </xf>
    <xf numFmtId="0" fontId="9" fillId="0" borderId="16" xfId="3" applyFont="1" applyBorder="1" applyAlignment="1">
      <alignment horizontal="center" vertical="center" wrapText="1"/>
    </xf>
    <xf numFmtId="9" fontId="9" fillId="0" borderId="16" xfId="2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1" fontId="9" fillId="0" borderId="11" xfId="1" applyNumberFormat="1" applyFont="1" applyFill="1" applyBorder="1" applyAlignment="1" applyProtection="1">
      <alignment horizontal="center" vertical="center"/>
    </xf>
    <xf numFmtId="166" fontId="9" fillId="0" borderId="38" xfId="1" applyNumberFormat="1" applyFont="1" applyBorder="1" applyAlignment="1" applyProtection="1">
      <alignment horizontal="center" wrapText="1"/>
      <protection locked="0"/>
    </xf>
    <xf numFmtId="9" fontId="9" fillId="13" borderId="7" xfId="2" applyFont="1" applyFill="1" applyBorder="1" applyAlignment="1" applyProtection="1">
      <alignment horizontal="center" vertical="center"/>
    </xf>
    <xf numFmtId="9" fontId="37" fillId="0" borderId="42" xfId="2" applyFont="1" applyFill="1" applyBorder="1" applyAlignment="1" applyProtection="1">
      <alignment horizontal="center" vertical="center"/>
      <protection locked="0"/>
    </xf>
    <xf numFmtId="9" fontId="9" fillId="13" borderId="24" xfId="2" applyFont="1" applyFill="1" applyBorder="1" applyAlignment="1" applyProtection="1">
      <alignment horizontal="center" vertical="center"/>
    </xf>
    <xf numFmtId="9" fontId="8" fillId="13" borderId="7" xfId="2" applyFont="1" applyFill="1" applyBorder="1" applyAlignment="1" applyProtection="1">
      <alignment horizontal="center" vertical="center"/>
    </xf>
    <xf numFmtId="0" fontId="6" fillId="2" borderId="11" xfId="3" applyFont="1" applyFill="1" applyBorder="1" applyAlignment="1" applyProtection="1">
      <alignment horizontal="center" vertical="center" wrapText="1"/>
      <protection locked="0"/>
    </xf>
    <xf numFmtId="9" fontId="14" fillId="0" borderId="11" xfId="2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center" wrapText="1"/>
    </xf>
    <xf numFmtId="9" fontId="9" fillId="0" borderId="7" xfId="2" applyFont="1" applyBorder="1" applyAlignment="1" applyProtection="1">
      <alignment horizontal="center" vertical="center"/>
      <protection locked="0"/>
    </xf>
    <xf numFmtId="0" fontId="9" fillId="0" borderId="11" xfId="3" applyFont="1" applyBorder="1" applyAlignment="1">
      <alignment horizontal="center" vertical="center" wrapText="1"/>
    </xf>
    <xf numFmtId="0" fontId="9" fillId="0" borderId="42" xfId="3" applyFont="1" applyBorder="1" applyAlignment="1">
      <alignment vertical="center" wrapText="1"/>
    </xf>
    <xf numFmtId="0" fontId="8" fillId="0" borderId="45" xfId="0" applyFont="1" applyBorder="1" applyAlignment="1">
      <alignment horizontal="center" vertical="center" wrapText="1"/>
    </xf>
    <xf numFmtId="10" fontId="14" fillId="0" borderId="0" xfId="2" applyNumberFormat="1" applyFont="1" applyBorder="1" applyAlignment="1" applyProtection="1">
      <alignment horizontal="center" vertical="center"/>
      <protection locked="0"/>
    </xf>
    <xf numFmtId="9" fontId="9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3" applyFont="1" applyBorder="1" applyAlignment="1">
      <alignment horizontal="center" vertical="center" wrapText="1"/>
    </xf>
    <xf numFmtId="9" fontId="14" fillId="0" borderId="11" xfId="2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9" fontId="8" fillId="0" borderId="13" xfId="2" applyFont="1" applyFill="1" applyBorder="1" applyAlignment="1" applyProtection="1">
      <alignment horizontal="center" vertical="center" wrapText="1"/>
      <protection locked="0"/>
    </xf>
    <xf numFmtId="9" fontId="38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4" xfId="3" applyFont="1" applyFill="1" applyBorder="1" applyAlignment="1" applyProtection="1">
      <alignment horizontal="center" vertical="center" wrapText="1"/>
      <protection locked="0"/>
    </xf>
    <xf numFmtId="9" fontId="13" fillId="2" borderId="7" xfId="3" applyNumberFormat="1" applyFont="1" applyFill="1" applyBorder="1" applyAlignment="1" applyProtection="1">
      <alignment horizontal="center" vertical="center" wrapText="1"/>
      <protection locked="0"/>
    </xf>
    <xf numFmtId="9" fontId="9" fillId="0" borderId="7" xfId="2" applyFont="1" applyBorder="1" applyAlignment="1" applyProtection="1">
      <alignment horizontal="center"/>
      <protection locked="0"/>
    </xf>
    <xf numFmtId="9" fontId="9" fillId="0" borderId="7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6" fillId="2" borderId="11" xfId="3" applyFont="1" applyFill="1" applyBorder="1" applyAlignment="1" applyProtection="1">
      <alignment horizontal="center" vertical="center" wrapText="1"/>
      <protection locked="0"/>
    </xf>
    <xf numFmtId="0" fontId="6" fillId="2" borderId="15" xfId="3" applyFont="1" applyFill="1" applyBorder="1" applyAlignment="1" applyProtection="1">
      <alignment horizontal="center" vertical="center" wrapText="1"/>
      <protection locked="0"/>
    </xf>
    <xf numFmtId="0" fontId="8" fillId="0" borderId="11" xfId="3" applyFont="1" applyFill="1" applyBorder="1" applyAlignment="1" applyProtection="1">
      <alignment horizontal="center" vertical="center" wrapText="1"/>
      <protection locked="0"/>
    </xf>
    <xf numFmtId="0" fontId="8" fillId="0" borderId="16" xfId="3" applyFont="1" applyFill="1" applyBorder="1" applyAlignment="1" applyProtection="1">
      <alignment horizontal="center" vertical="center" wrapText="1"/>
      <protection locked="0"/>
    </xf>
    <xf numFmtId="0" fontId="8" fillId="0" borderId="15" xfId="3" applyFont="1" applyFill="1" applyBorder="1" applyAlignment="1" applyProtection="1">
      <alignment horizontal="center" vertical="center" wrapText="1"/>
      <protection locked="0"/>
    </xf>
    <xf numFmtId="9" fontId="6" fillId="6" borderId="12" xfId="2" applyFont="1" applyFill="1" applyBorder="1" applyAlignment="1" applyProtection="1">
      <alignment horizontal="center" vertical="center" wrapText="1"/>
      <protection locked="0"/>
    </xf>
    <xf numFmtId="9" fontId="6" fillId="6" borderId="13" xfId="2" applyFont="1" applyFill="1" applyBorder="1" applyAlignment="1" applyProtection="1">
      <alignment horizontal="center" vertical="center" wrapText="1"/>
      <protection locked="0"/>
    </xf>
    <xf numFmtId="0" fontId="8" fillId="0" borderId="11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15" xfId="3" applyFont="1" applyFill="1" applyBorder="1" applyAlignment="1" applyProtection="1">
      <alignment horizontal="left" vertical="center" wrapText="1"/>
      <protection locked="0"/>
    </xf>
    <xf numFmtId="9" fontId="8" fillId="0" borderId="11" xfId="3" applyNumberFormat="1" applyFont="1" applyFill="1" applyBorder="1" applyAlignment="1" applyProtection="1">
      <alignment horizontal="center" vertical="center" wrapText="1"/>
      <protection locked="0"/>
    </xf>
    <xf numFmtId="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4" applyFont="1" applyFill="1" applyBorder="1" applyAlignment="1" applyProtection="1">
      <alignment horizontal="left" vertical="center" wrapText="1"/>
      <protection locked="0"/>
    </xf>
    <xf numFmtId="0" fontId="8" fillId="0" borderId="16" xfId="4" applyFont="1" applyFill="1" applyBorder="1" applyAlignment="1" applyProtection="1">
      <alignment horizontal="left" vertical="center" wrapText="1"/>
      <protection locked="0"/>
    </xf>
    <xf numFmtId="0" fontId="8" fillId="0" borderId="15" xfId="4" applyFont="1" applyFill="1" applyBorder="1" applyAlignment="1" applyProtection="1">
      <alignment horizontal="left" vertical="center" wrapText="1"/>
      <protection locked="0"/>
    </xf>
    <xf numFmtId="0" fontId="11" fillId="7" borderId="14" xfId="0" applyFont="1" applyFill="1" applyBorder="1" applyAlignment="1" applyProtection="1">
      <alignment horizontal="center" vertical="center"/>
      <protection locked="0"/>
    </xf>
    <xf numFmtId="0" fontId="11" fillId="7" borderId="12" xfId="0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9" fontId="6" fillId="6" borderId="7" xfId="2" applyFont="1" applyFill="1" applyBorder="1" applyAlignment="1" applyProtection="1">
      <alignment horizontal="center" vertical="center" wrapText="1"/>
      <protection locked="0"/>
    </xf>
    <xf numFmtId="0" fontId="29" fillId="0" borderId="4" xfId="6" applyBorder="1" applyAlignment="1" applyProtection="1">
      <alignment horizontal="left" vertical="center" wrapText="1"/>
    </xf>
    <xf numFmtId="0" fontId="29" fillId="0" borderId="7" xfId="6" applyBorder="1" applyAlignment="1" applyProtection="1">
      <alignment horizontal="left" vertical="center" wrapText="1"/>
    </xf>
    <xf numFmtId="0" fontId="29" fillId="0" borderId="4" xfId="6" applyBorder="1" applyAlignment="1" applyProtection="1">
      <alignment horizontal="left" wrapText="1"/>
    </xf>
    <xf numFmtId="0" fontId="29" fillId="0" borderId="7" xfId="6" applyBorder="1" applyAlignment="1" applyProtection="1">
      <alignment horizontal="left" wrapText="1"/>
    </xf>
    <xf numFmtId="9" fontId="31" fillId="14" borderId="11" xfId="0" applyNumberFormat="1" applyFont="1" applyFill="1" applyBorder="1" applyAlignment="1">
      <alignment horizontal="left" vertical="center"/>
    </xf>
    <xf numFmtId="9" fontId="31" fillId="14" borderId="15" xfId="0" applyNumberFormat="1" applyFont="1" applyFill="1" applyBorder="1" applyAlignment="1">
      <alignment horizontal="left" vertical="center"/>
    </xf>
    <xf numFmtId="0" fontId="29" fillId="0" borderId="0" xfId="6" applyAlignment="1" applyProtection="1">
      <alignment wrapText="1"/>
    </xf>
    <xf numFmtId="0" fontId="29" fillId="0" borderId="4" xfId="6" applyBorder="1" applyAlignment="1" applyProtection="1">
      <alignment horizontal="left" vertical="top" wrapText="1"/>
    </xf>
    <xf numFmtId="0" fontId="29" fillId="0" borderId="7" xfId="6" applyBorder="1" applyAlignment="1" applyProtection="1">
      <alignment horizontal="left" vertical="top" wrapText="1"/>
    </xf>
    <xf numFmtId="0" fontId="27" fillId="16" borderId="17" xfId="0" applyFont="1" applyFill="1" applyBorder="1" applyAlignment="1">
      <alignment horizontal="center" vertical="center"/>
    </xf>
    <xf numFmtId="0" fontId="27" fillId="16" borderId="18" xfId="0" applyFont="1" applyFill="1" applyBorder="1" applyAlignment="1">
      <alignment horizontal="center" vertical="center"/>
    </xf>
    <xf numFmtId="0" fontId="27" fillId="16" borderId="19" xfId="0" applyFont="1" applyFill="1" applyBorder="1" applyAlignment="1">
      <alignment horizontal="center" vertical="center"/>
    </xf>
    <xf numFmtId="0" fontId="34" fillId="16" borderId="28" xfId="0" applyFont="1" applyFill="1" applyBorder="1" applyAlignment="1">
      <alignment horizontal="center" vertical="center"/>
    </xf>
    <xf numFmtId="0" fontId="34" fillId="16" borderId="10" xfId="0" applyFont="1" applyFill="1" applyBorder="1" applyAlignment="1">
      <alignment horizontal="center" vertical="center"/>
    </xf>
    <xf numFmtId="0" fontId="34" fillId="16" borderId="29" xfId="0" applyFont="1" applyFill="1" applyBorder="1" applyAlignment="1">
      <alignment horizontal="center" vertical="center"/>
    </xf>
    <xf numFmtId="0" fontId="26" fillId="15" borderId="7" xfId="0" applyFont="1" applyFill="1" applyBorder="1" applyAlignment="1">
      <alignment horizontal="center"/>
    </xf>
    <xf numFmtId="0" fontId="29" fillId="0" borderId="4" xfId="6" applyBorder="1" applyAlignment="1" applyProtection="1">
      <alignment horizontal="left" vertical="center"/>
    </xf>
    <xf numFmtId="0" fontId="29" fillId="0" borderId="7" xfId="6" applyBorder="1" applyAlignment="1" applyProtection="1">
      <alignment horizontal="left" vertical="center"/>
    </xf>
    <xf numFmtId="0" fontId="29" fillId="0" borderId="4" xfId="6" applyBorder="1" applyAlignment="1" applyProtection="1">
      <alignment vertical="center" wrapText="1"/>
    </xf>
    <xf numFmtId="0" fontId="29" fillId="0" borderId="7" xfId="6" applyBorder="1" applyAlignment="1" applyProtection="1">
      <alignment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9" fontId="16" fillId="2" borderId="24" xfId="2" applyFont="1" applyFill="1" applyBorder="1" applyAlignment="1" applyProtection="1">
      <alignment horizontal="center" vertical="center"/>
      <protection locked="0"/>
    </xf>
    <xf numFmtId="9" fontId="16" fillId="2" borderId="41" xfId="2" applyFont="1" applyFill="1" applyBorder="1" applyAlignment="1" applyProtection="1">
      <alignment horizontal="center" vertical="center"/>
      <protection locked="0"/>
    </xf>
    <xf numFmtId="9" fontId="14" fillId="0" borderId="11" xfId="2" applyFont="1" applyBorder="1" applyAlignment="1">
      <alignment horizontal="center" vertical="center" wrapText="1"/>
    </xf>
    <xf numFmtId="9" fontId="14" fillId="0" borderId="16" xfId="2" applyFont="1" applyBorder="1" applyAlignment="1">
      <alignment horizontal="center" vertical="center" wrapText="1"/>
    </xf>
    <xf numFmtId="9" fontId="14" fillId="0" borderId="15" xfId="2" applyFont="1" applyBorder="1" applyAlignment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6" fillId="2" borderId="35" xfId="3" applyFont="1" applyFill="1" applyBorder="1" applyAlignment="1" applyProtection="1">
      <alignment horizontal="center" vertical="center" wrapText="1"/>
      <protection locked="0"/>
    </xf>
    <xf numFmtId="0" fontId="6" fillId="2" borderId="49" xfId="3" applyFont="1" applyFill="1" applyBorder="1" applyAlignment="1" applyProtection="1">
      <alignment horizontal="center" vertical="center" wrapText="1"/>
      <protection locked="0"/>
    </xf>
    <xf numFmtId="0" fontId="6" fillId="2" borderId="36" xfId="3" applyFont="1" applyFill="1" applyBorder="1" applyAlignment="1" applyProtection="1">
      <alignment horizontal="center" vertical="center" wrapText="1"/>
      <protection locked="0"/>
    </xf>
    <xf numFmtId="9" fontId="6" fillId="2" borderId="37" xfId="2" applyFont="1" applyFill="1" applyBorder="1" applyAlignment="1" applyProtection="1">
      <alignment horizontal="center" vertical="center" wrapText="1"/>
      <protection locked="0"/>
    </xf>
    <xf numFmtId="9" fontId="6" fillId="2" borderId="33" xfId="2" applyFont="1" applyFill="1" applyBorder="1" applyAlignment="1" applyProtection="1">
      <alignment horizontal="center" vertical="center" wrapText="1"/>
      <protection locked="0"/>
    </xf>
    <xf numFmtId="0" fontId="6" fillId="2" borderId="37" xfId="3" applyFont="1" applyFill="1" applyBorder="1" applyAlignment="1" applyProtection="1">
      <alignment horizontal="center" vertical="center" wrapText="1"/>
      <protection locked="0"/>
    </xf>
    <xf numFmtId="0" fontId="6" fillId="2" borderId="33" xfId="3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Fill="1" applyBorder="1" applyAlignment="1" applyProtection="1">
      <alignment horizontal="center" vertical="center" wrapText="1"/>
      <protection locked="0"/>
    </xf>
    <xf numFmtId="9" fontId="6" fillId="2" borderId="36" xfId="2" applyFont="1" applyFill="1" applyBorder="1" applyAlignment="1" applyProtection="1">
      <alignment horizontal="center" vertical="center" wrapText="1"/>
      <protection locked="0"/>
    </xf>
    <xf numFmtId="9" fontId="6" fillId="2" borderId="15" xfId="2" applyFont="1" applyFill="1" applyBorder="1" applyAlignment="1" applyProtection="1">
      <alignment horizontal="center" vertical="center" wrapText="1"/>
      <protection locked="0"/>
    </xf>
    <xf numFmtId="9" fontId="28" fillId="15" borderId="36" xfId="0" applyNumberFormat="1" applyFont="1" applyFill="1" applyBorder="1" applyAlignment="1">
      <alignment horizontal="center" vertical="center" wrapText="1"/>
    </xf>
    <xf numFmtId="9" fontId="28" fillId="15" borderId="1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5" fillId="0" borderId="7" xfId="0" applyFont="1" applyFill="1" applyBorder="1" applyAlignment="1" applyProtection="1">
      <alignment horizontal="center" vertical="center"/>
      <protection locked="0"/>
    </xf>
    <xf numFmtId="9" fontId="17" fillId="0" borderId="45" xfId="2" applyFont="1" applyFill="1" applyBorder="1" applyAlignment="1" applyProtection="1">
      <alignment horizontal="center" vertical="center"/>
      <protection locked="0"/>
    </xf>
    <xf numFmtId="9" fontId="17" fillId="0" borderId="46" xfId="2" applyFont="1" applyFill="1" applyBorder="1" applyAlignment="1" applyProtection="1">
      <alignment horizontal="center" vertical="center"/>
      <protection locked="0"/>
    </xf>
    <xf numFmtId="9" fontId="9" fillId="0" borderId="54" xfId="2" applyFont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40" xfId="0" applyFont="1" applyFill="1" applyBorder="1" applyAlignment="1" applyProtection="1">
      <alignment horizontal="center" vertical="center"/>
      <protection locked="0"/>
    </xf>
    <xf numFmtId="0" fontId="16" fillId="2" borderId="47" xfId="0" applyFont="1" applyFill="1" applyBorder="1" applyAlignment="1" applyProtection="1">
      <alignment horizontal="center" vertical="center"/>
      <protection locked="0"/>
    </xf>
    <xf numFmtId="0" fontId="16" fillId="2" borderId="41" xfId="0" applyFont="1" applyFill="1" applyBorder="1" applyAlignment="1" applyProtection="1">
      <alignment horizontal="center" vertical="center"/>
      <protection locked="0"/>
    </xf>
    <xf numFmtId="0" fontId="14" fillId="0" borderId="11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center" wrapText="1"/>
    </xf>
    <xf numFmtId="0" fontId="14" fillId="0" borderId="50" xfId="3" applyFont="1" applyBorder="1" applyAlignment="1">
      <alignment horizontal="center" vertical="center" wrapText="1"/>
    </xf>
    <xf numFmtId="0" fontId="14" fillId="0" borderId="49" xfId="3" applyFont="1" applyBorder="1" applyAlignment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  <protection locked="0"/>
    </xf>
    <xf numFmtId="0" fontId="8" fillId="0" borderId="52" xfId="3" applyFont="1" applyFill="1" applyBorder="1" applyAlignment="1" applyProtection="1">
      <alignment horizontal="center" vertical="center" wrapText="1"/>
      <protection locked="0"/>
    </xf>
    <xf numFmtId="0" fontId="8" fillId="0" borderId="33" xfId="3" applyFont="1" applyFill="1" applyBorder="1" applyAlignment="1" applyProtection="1">
      <alignment horizontal="center" vertical="center" wrapText="1"/>
      <protection locked="0"/>
    </xf>
    <xf numFmtId="9" fontId="8" fillId="0" borderId="14" xfId="3" applyNumberFormat="1" applyFont="1" applyFill="1" applyBorder="1" applyAlignment="1" applyProtection="1">
      <alignment horizontal="center" vertical="center" wrapText="1"/>
      <protection locked="0"/>
    </xf>
    <xf numFmtId="9" fontId="8" fillId="0" borderId="12" xfId="3" applyNumberFormat="1" applyFont="1" applyFill="1" applyBorder="1" applyAlignment="1" applyProtection="1">
      <alignment horizontal="center" vertical="center" wrapText="1"/>
      <protection locked="0"/>
    </xf>
    <xf numFmtId="9" fontId="8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9" fontId="9" fillId="0" borderId="7" xfId="2" applyFont="1" applyBorder="1" applyAlignment="1" applyProtection="1">
      <alignment horizontal="center" vertical="center"/>
      <protection locked="0"/>
    </xf>
    <xf numFmtId="10" fontId="0" fillId="0" borderId="7" xfId="2" applyNumberFormat="1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10" fontId="0" fillId="0" borderId="11" xfId="2" applyNumberFormat="1" applyFont="1" applyBorder="1" applyAlignment="1">
      <alignment horizontal="center" vertical="center"/>
    </xf>
    <xf numFmtId="10" fontId="0" fillId="0" borderId="16" xfId="2" applyNumberFormat="1" applyFont="1" applyBorder="1" applyAlignment="1">
      <alignment horizontal="center" vertical="center"/>
    </xf>
    <xf numFmtId="10" fontId="0" fillId="0" borderId="15" xfId="2" applyNumberFormat="1" applyFont="1" applyBorder="1" applyAlignment="1">
      <alignment horizontal="center" vertical="center"/>
    </xf>
    <xf numFmtId="0" fontId="7" fillId="7" borderId="43" xfId="0" applyFont="1" applyFill="1" applyBorder="1" applyAlignment="1" applyProtection="1">
      <alignment horizontal="center" vertical="center" wrapText="1"/>
      <protection locked="0"/>
    </xf>
    <xf numFmtId="0" fontId="7" fillId="7" borderId="3" xfId="0" applyFont="1" applyFill="1" applyBorder="1" applyAlignment="1" applyProtection="1">
      <alignment horizontal="center" vertical="center" wrapText="1"/>
      <protection locked="0"/>
    </xf>
    <xf numFmtId="0" fontId="7" fillId="7" borderId="44" xfId="0" applyFont="1" applyFill="1" applyBorder="1" applyAlignment="1" applyProtection="1">
      <alignment horizontal="center" vertical="center" wrapText="1"/>
      <protection locked="0"/>
    </xf>
    <xf numFmtId="43" fontId="16" fillId="2" borderId="24" xfId="1" applyFont="1" applyFill="1" applyBorder="1" applyAlignment="1" applyProtection="1">
      <alignment horizontal="center" vertical="center"/>
      <protection locked="0"/>
    </xf>
    <xf numFmtId="43" fontId="16" fillId="2" borderId="41" xfId="1" applyFont="1" applyFill="1" applyBorder="1" applyAlignment="1" applyProtection="1">
      <alignment horizontal="center" vertical="center"/>
      <protection locked="0"/>
    </xf>
    <xf numFmtId="9" fontId="0" fillId="0" borderId="14" xfId="0" applyNumberFormat="1" applyBorder="1" applyAlignment="1">
      <alignment horizontal="left"/>
    </xf>
    <xf numFmtId="0" fontId="7" fillId="7" borderId="14" xfId="0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 applyProtection="1">
      <alignment horizontal="center" vertical="center" wrapText="1"/>
      <protection locked="0"/>
    </xf>
    <xf numFmtId="0" fontId="7" fillId="7" borderId="13" xfId="0" applyFont="1" applyFill="1" applyBorder="1" applyAlignment="1" applyProtection="1">
      <alignment horizontal="center" vertical="center" wrapText="1"/>
      <protection locked="0"/>
    </xf>
    <xf numFmtId="9" fontId="17" fillId="0" borderId="11" xfId="2" applyFont="1" applyFill="1" applyBorder="1" applyAlignment="1" applyProtection="1">
      <alignment horizontal="center" vertical="center"/>
      <protection locked="0"/>
    </xf>
    <xf numFmtId="9" fontId="17" fillId="0" borderId="15" xfId="2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9" fontId="16" fillId="2" borderId="7" xfId="2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9" fontId="6" fillId="2" borderId="11" xfId="2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6" fillId="15" borderId="36" xfId="3" applyFont="1" applyFill="1" applyBorder="1" applyAlignment="1" applyProtection="1">
      <alignment horizontal="center" vertical="center" wrapText="1"/>
      <protection locked="0"/>
    </xf>
    <xf numFmtId="0" fontId="6" fillId="15" borderId="15" xfId="3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/>
      <protection locked="0"/>
    </xf>
    <xf numFmtId="0" fontId="16" fillId="2" borderId="54" xfId="0" applyFont="1" applyFill="1" applyBorder="1" applyAlignment="1" applyProtection="1">
      <alignment horizontal="center" vertical="center"/>
      <protection locked="0"/>
    </xf>
    <xf numFmtId="0" fontId="16" fillId="2" borderId="39" xfId="0" applyFont="1" applyFill="1" applyBorder="1" applyAlignment="1" applyProtection="1">
      <alignment horizontal="center" vertical="center"/>
      <protection locked="0"/>
    </xf>
    <xf numFmtId="9" fontId="16" fillId="2" borderId="11" xfId="2" applyFont="1" applyFill="1" applyBorder="1" applyAlignment="1" applyProtection="1">
      <alignment horizontal="center" vertical="center"/>
      <protection locked="0"/>
    </xf>
    <xf numFmtId="9" fontId="16" fillId="2" borderId="15" xfId="2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9" fontId="9" fillId="0" borderId="16" xfId="2" applyFont="1" applyBorder="1" applyAlignment="1">
      <alignment horizontal="center" vertical="center"/>
    </xf>
    <xf numFmtId="9" fontId="23" fillId="0" borderId="45" xfId="2" applyFont="1" applyFill="1" applyBorder="1" applyAlignment="1" applyProtection="1">
      <alignment horizontal="center" vertical="center"/>
      <protection locked="0"/>
    </xf>
    <xf numFmtId="9" fontId="23" fillId="0" borderId="46" xfId="2" applyFont="1" applyFill="1" applyBorder="1" applyAlignment="1" applyProtection="1">
      <alignment horizontal="center" vertical="center"/>
      <protection locked="0"/>
    </xf>
    <xf numFmtId="9" fontId="8" fillId="0" borderId="48" xfId="2" applyFont="1" applyFill="1" applyBorder="1" applyAlignment="1" applyProtection="1">
      <alignment horizontal="center" vertical="center" wrapText="1"/>
      <protection locked="0"/>
    </xf>
    <xf numFmtId="9" fontId="8" fillId="0" borderId="12" xfId="2" applyFont="1" applyFill="1" applyBorder="1" applyAlignment="1" applyProtection="1">
      <alignment horizontal="center" vertical="center" wrapText="1"/>
      <protection locked="0"/>
    </xf>
    <xf numFmtId="9" fontId="8" fillId="0" borderId="13" xfId="2" applyFont="1" applyFill="1" applyBorder="1" applyAlignment="1" applyProtection="1">
      <alignment horizontal="center" vertical="center" wrapText="1"/>
      <protection locked="0"/>
    </xf>
    <xf numFmtId="0" fontId="9" fillId="0" borderId="53" xfId="0" applyFont="1" applyBorder="1" applyAlignment="1" applyProtection="1">
      <alignment horizontal="center" wrapText="1"/>
      <protection locked="0"/>
    </xf>
    <xf numFmtId="0" fontId="9" fillId="0" borderId="39" xfId="0" applyFont="1" applyBorder="1" applyAlignment="1" applyProtection="1">
      <alignment horizontal="center" wrapText="1"/>
      <protection locked="0"/>
    </xf>
    <xf numFmtId="0" fontId="6" fillId="0" borderId="50" xfId="3" applyFont="1" applyBorder="1" applyAlignment="1">
      <alignment vertical="center" wrapText="1"/>
    </xf>
    <xf numFmtId="0" fontId="8" fillId="0" borderId="52" xfId="0" applyFont="1" applyBorder="1" applyAlignment="1">
      <alignment horizontal="center" vertical="center" wrapText="1"/>
    </xf>
    <xf numFmtId="9" fontId="16" fillId="2" borderId="51" xfId="2" applyFont="1" applyFill="1" applyBorder="1" applyAlignment="1" applyProtection="1">
      <alignment horizontal="center" vertical="center"/>
      <protection locked="0"/>
    </xf>
    <xf numFmtId="9" fontId="16" fillId="2" borderId="39" xfId="2" applyFont="1" applyFill="1" applyBorder="1" applyAlignment="1" applyProtection="1">
      <alignment horizontal="center" vertical="center"/>
      <protection locked="0"/>
    </xf>
    <xf numFmtId="9" fontId="14" fillId="0" borderId="16" xfId="2" applyFont="1" applyBorder="1" applyAlignment="1">
      <alignment horizontal="center" vertical="center"/>
    </xf>
    <xf numFmtId="9" fontId="8" fillId="0" borderId="48" xfId="2" applyFont="1" applyFill="1" applyBorder="1" applyAlignment="1" applyProtection="1">
      <alignment horizontal="center" vertical="center"/>
      <protection locked="0"/>
    </xf>
    <xf numFmtId="9" fontId="8" fillId="0" borderId="12" xfId="2" applyFont="1" applyFill="1" applyBorder="1" applyAlignment="1" applyProtection="1">
      <alignment horizontal="center" vertical="center"/>
      <protection locked="0"/>
    </xf>
    <xf numFmtId="9" fontId="8" fillId="0" borderId="13" xfId="2" applyFont="1" applyFill="1" applyBorder="1" applyAlignment="1" applyProtection="1">
      <alignment horizontal="center" vertical="center"/>
      <protection locked="0"/>
    </xf>
    <xf numFmtId="0" fontId="9" fillId="0" borderId="50" xfId="3" applyFont="1" applyBorder="1" applyAlignment="1">
      <alignment vertical="center" wrapText="1"/>
    </xf>
    <xf numFmtId="9" fontId="9" fillId="0" borderId="11" xfId="2" applyFont="1" applyBorder="1" applyAlignment="1">
      <alignment horizontal="center" vertical="center"/>
    </xf>
    <xf numFmtId="0" fontId="6" fillId="2" borderId="55" xfId="3" applyFont="1" applyFill="1" applyBorder="1" applyAlignment="1" applyProtection="1">
      <alignment horizontal="center" vertical="center" wrapText="1"/>
      <protection locked="0"/>
    </xf>
    <xf numFmtId="0" fontId="6" fillId="2" borderId="34" xfId="3" applyFont="1" applyFill="1" applyBorder="1" applyAlignment="1" applyProtection="1">
      <alignment horizontal="center" vertical="center" wrapText="1"/>
      <protection locked="0"/>
    </xf>
    <xf numFmtId="9" fontId="16" fillId="0" borderId="45" xfId="2" applyFont="1" applyFill="1" applyBorder="1" applyAlignment="1" applyProtection="1">
      <alignment horizontal="center" vertical="center"/>
      <protection locked="0"/>
    </xf>
    <xf numFmtId="9" fontId="16" fillId="0" borderId="46" xfId="2" applyFont="1" applyFill="1" applyBorder="1" applyAlignment="1" applyProtection="1">
      <alignment horizontal="center" vertical="center"/>
      <protection locked="0"/>
    </xf>
    <xf numFmtId="0" fontId="6" fillId="0" borderId="42" xfId="3" applyFont="1" applyBorder="1" applyAlignment="1">
      <alignment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 wrapText="1"/>
    </xf>
    <xf numFmtId="0" fontId="9" fillId="0" borderId="50" xfId="3" applyFont="1" applyBorder="1" applyAlignment="1">
      <alignment horizontal="center" vertical="center" wrapText="1"/>
    </xf>
    <xf numFmtId="0" fontId="9" fillId="0" borderId="49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9" fontId="9" fillId="0" borderId="15" xfId="2" applyFont="1" applyBorder="1" applyAlignment="1">
      <alignment horizontal="center" vertical="center"/>
    </xf>
    <xf numFmtId="0" fontId="6" fillId="2" borderId="5" xfId="3" applyFont="1" applyFill="1" applyBorder="1" applyAlignment="1" applyProtection="1">
      <alignment horizontal="center" vertical="center" wrapText="1"/>
      <protection locked="0"/>
    </xf>
    <xf numFmtId="9" fontId="14" fillId="0" borderId="11" xfId="2" applyFont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9" fillId="0" borderId="42" xfId="3" applyFont="1" applyBorder="1" applyAlignment="1">
      <alignment vertical="center" wrapText="1"/>
    </xf>
    <xf numFmtId="166" fontId="16" fillId="2" borderId="24" xfId="1" applyNumberFormat="1" applyFont="1" applyFill="1" applyBorder="1" applyAlignment="1" applyProtection="1">
      <alignment horizontal="center" vertical="center"/>
      <protection locked="0"/>
    </xf>
    <xf numFmtId="166" fontId="16" fillId="2" borderId="41" xfId="1" applyNumberFormat="1" applyFont="1" applyFill="1" applyBorder="1" applyAlignment="1" applyProtection="1">
      <alignment horizontal="center" vertical="center"/>
      <protection locked="0"/>
    </xf>
    <xf numFmtId="166" fontId="16" fillId="2" borderId="45" xfId="1" applyNumberFormat="1" applyFont="1" applyFill="1" applyBorder="1" applyAlignment="1" applyProtection="1">
      <alignment horizontal="center" vertical="center"/>
      <protection locked="0"/>
    </xf>
    <xf numFmtId="166" fontId="16" fillId="2" borderId="46" xfId="1" applyNumberFormat="1" applyFont="1" applyFill="1" applyBorder="1" applyAlignment="1" applyProtection="1">
      <alignment horizontal="center" vertical="center"/>
      <protection locked="0"/>
    </xf>
    <xf numFmtId="0" fontId="6" fillId="15" borderId="56" xfId="3" applyFont="1" applyFill="1" applyBorder="1" applyAlignment="1" applyProtection="1">
      <alignment horizontal="center" vertical="center" wrapText="1"/>
      <protection locked="0"/>
    </xf>
    <xf numFmtId="0" fontId="6" fillId="15" borderId="32" xfId="3" applyFont="1" applyFill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/>
    </xf>
    <xf numFmtId="166" fontId="8" fillId="0" borderId="42" xfId="1" applyNumberFormat="1" applyFont="1" applyFill="1" applyBorder="1" applyAlignment="1" applyProtection="1">
      <alignment horizontal="center" vertical="center" wrapText="1"/>
      <protection locked="0"/>
    </xf>
    <xf numFmtId="9" fontId="9" fillId="7" borderId="42" xfId="2" applyFont="1" applyFill="1" applyBorder="1" applyAlignment="1" applyProtection="1">
      <alignment horizontal="center" vertical="center"/>
    </xf>
    <xf numFmtId="9" fontId="9" fillId="7" borderId="31" xfId="2" applyFont="1" applyFill="1" applyBorder="1" applyAlignment="1" applyProtection="1">
      <alignment horizontal="center" vertical="center"/>
    </xf>
    <xf numFmtId="9" fontId="9" fillId="7" borderId="13" xfId="2" applyFont="1" applyFill="1" applyBorder="1" applyAlignment="1" applyProtection="1">
      <alignment horizontal="center" vertical="center"/>
    </xf>
    <xf numFmtId="9" fontId="9" fillId="7" borderId="45" xfId="2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justify" vertical="center" wrapText="1"/>
      <protection locked="0"/>
    </xf>
    <xf numFmtId="0" fontId="9" fillId="0" borderId="11" xfId="0" applyFont="1" applyFill="1" applyBorder="1" applyAlignment="1" applyProtection="1">
      <alignment horizontal="justify" vertical="center"/>
      <protection locked="0"/>
    </xf>
    <xf numFmtId="0" fontId="9" fillId="0" borderId="45" xfId="0" applyFont="1" applyFill="1" applyBorder="1" applyAlignment="1" applyProtection="1">
      <alignment horizontal="justify" vertical="center"/>
      <protection locked="0"/>
    </xf>
    <xf numFmtId="9" fontId="9" fillId="0" borderId="11" xfId="2" applyFont="1" applyBorder="1" applyAlignment="1">
      <alignment horizontal="center" vertical="center" wrapText="1"/>
    </xf>
    <xf numFmtId="9" fontId="8" fillId="0" borderId="4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4" xfId="2" applyNumberFormat="1" applyFont="1" applyFill="1" applyBorder="1" applyAlignment="1" applyProtection="1">
      <alignment horizontal="center" vertical="center" wrapText="1"/>
      <protection locked="0"/>
    </xf>
    <xf numFmtId="9" fontId="9" fillId="0" borderId="16" xfId="2" applyFont="1" applyBorder="1" applyAlignment="1">
      <alignment horizontal="center" vertical="center" wrapText="1"/>
    </xf>
    <xf numFmtId="9" fontId="9" fillId="0" borderId="7" xfId="2" applyFont="1" applyBorder="1" applyAlignment="1">
      <alignment horizontal="center" vertical="center" wrapText="1"/>
    </xf>
    <xf numFmtId="9" fontId="8" fillId="0" borderId="14" xfId="2" applyFont="1" applyBorder="1" applyAlignment="1">
      <alignment horizontal="center" vertical="center" wrapText="1"/>
    </xf>
    <xf numFmtId="0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43" fontId="8" fillId="0" borderId="24" xfId="1" applyFont="1" applyBorder="1" applyAlignment="1">
      <alignment vertical="center" wrapText="1"/>
    </xf>
    <xf numFmtId="49" fontId="8" fillId="0" borderId="7" xfId="1" applyNumberFormat="1" applyFont="1" applyFill="1" applyBorder="1" applyAlignment="1" applyProtection="1">
      <alignment horizontal="center" vertical="center" wrapText="1"/>
    </xf>
    <xf numFmtId="9" fontId="0" fillId="0" borderId="42" xfId="2" applyFont="1" applyBorder="1" applyAlignment="1">
      <alignment horizontal="center"/>
    </xf>
    <xf numFmtId="9" fontId="23" fillId="2" borderId="24" xfId="2" applyFont="1" applyFill="1" applyBorder="1" applyAlignment="1" applyProtection="1">
      <alignment horizontal="center" vertical="center"/>
      <protection locked="0"/>
    </xf>
    <xf numFmtId="9" fontId="23" fillId="2" borderId="41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wrapText="1"/>
      <protection locked="0"/>
    </xf>
    <xf numFmtId="9" fontId="0" fillId="0" borderId="0" xfId="2" applyNumberFormat="1" applyFont="1" applyBorder="1" applyAlignment="1">
      <alignment horizont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3" fillId="0" borderId="7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</cellXfs>
  <cellStyles count="7">
    <cellStyle name="Hipervínculo" xfId="6" builtinId="8"/>
    <cellStyle name="Millares" xfId="1" builtinId="3"/>
    <cellStyle name="Normal" xfId="0" builtinId="0"/>
    <cellStyle name="Normal 2" xfId="3"/>
    <cellStyle name="Normal 2 2" xfId="4"/>
    <cellStyle name="Normal 4" xfId="5"/>
    <cellStyle name="Porcentaje" xfId="2" builtinId="5"/>
  </cellStyles>
  <dxfs count="11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AC0DA"/>
      <color rgb="FFD9D2E4"/>
      <color rgb="FFAFEAFF"/>
      <color rgb="FF79DCFF"/>
      <color rgb="FFCC99FF"/>
      <color rgb="FFFF99FF"/>
      <color rgb="FF53D2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LISTADOS -POA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1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PROGRAMAS ESTRATEGICOS'!A1"/><Relationship Id="rId1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10</xdr:col>
      <xdr:colOff>150799</xdr:colOff>
      <xdr:row>6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028"/>
        <a:stretch/>
      </xdr:blipFill>
      <xdr:spPr>
        <a:xfrm>
          <a:off x="0" y="400050"/>
          <a:ext cx="12809524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123826</xdr:rowOff>
    </xdr:from>
    <xdr:to>
      <xdr:col>2</xdr:col>
      <xdr:colOff>29510</xdr:colOff>
      <xdr:row>35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01026"/>
          <a:ext cx="659223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1627910</xdr:colOff>
      <xdr:row>0</xdr:row>
      <xdr:rowOff>138546</xdr:rowOff>
    </xdr:from>
    <xdr:to>
      <xdr:col>53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4735" y="138546"/>
          <a:ext cx="2192482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136072</xdr:colOff>
      <xdr:row>1</xdr:row>
      <xdr:rowOff>163285</xdr:rowOff>
    </xdr:from>
    <xdr:to>
      <xdr:col>2</xdr:col>
      <xdr:colOff>2068286</xdr:colOff>
      <xdr:row>2</xdr:row>
      <xdr:rowOff>319388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643" y="1129392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1627910</xdr:colOff>
      <xdr:row>0</xdr:row>
      <xdr:rowOff>138546</xdr:rowOff>
    </xdr:from>
    <xdr:to>
      <xdr:col>41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41785" y="138546"/>
          <a:ext cx="1039957" cy="24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81645</xdr:colOff>
      <xdr:row>1</xdr:row>
      <xdr:rowOff>190499</xdr:rowOff>
    </xdr:from>
    <xdr:to>
      <xdr:col>2</xdr:col>
      <xdr:colOff>2013859</xdr:colOff>
      <xdr:row>2</xdr:row>
      <xdr:rowOff>346602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6216" y="1156606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1627910</xdr:colOff>
      <xdr:row>0</xdr:row>
      <xdr:rowOff>138546</xdr:rowOff>
    </xdr:from>
    <xdr:to>
      <xdr:col>32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70235" y="138546"/>
          <a:ext cx="1039957" cy="24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1</xdr:row>
      <xdr:rowOff>154781</xdr:rowOff>
    </xdr:from>
    <xdr:to>
      <xdr:col>2</xdr:col>
      <xdr:colOff>2075089</xdr:colOff>
      <xdr:row>2</xdr:row>
      <xdr:rowOff>317688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2344" y="1119187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950097</xdr:colOff>
      <xdr:row>0</xdr:row>
      <xdr:rowOff>91321</xdr:rowOff>
    </xdr:from>
    <xdr:to>
      <xdr:col>41</xdr:col>
      <xdr:colOff>804422</xdr:colOff>
      <xdr:row>1</xdr:row>
      <xdr:rowOff>365494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00990" y="91321"/>
          <a:ext cx="3392182" cy="1240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</xdr:row>
      <xdr:rowOff>149679</xdr:rowOff>
    </xdr:from>
    <xdr:to>
      <xdr:col>2</xdr:col>
      <xdr:colOff>2122714</xdr:colOff>
      <xdr:row>2</xdr:row>
      <xdr:rowOff>305782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5071" y="1115786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371475</xdr:colOff>
      <xdr:row>0</xdr:row>
      <xdr:rowOff>138546</xdr:rowOff>
    </xdr:from>
    <xdr:to>
      <xdr:col>59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52075" y="138546"/>
          <a:ext cx="1429617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204108</xdr:colOff>
      <xdr:row>1</xdr:row>
      <xdr:rowOff>149678</xdr:rowOff>
    </xdr:from>
    <xdr:to>
      <xdr:col>3</xdr:col>
      <xdr:colOff>81643</xdr:colOff>
      <xdr:row>2</xdr:row>
      <xdr:rowOff>305781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8679" y="1115785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1627910</xdr:colOff>
      <xdr:row>0</xdr:row>
      <xdr:rowOff>138546</xdr:rowOff>
    </xdr:from>
    <xdr:to>
      <xdr:col>32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59035" y="138546"/>
          <a:ext cx="2192482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122464</xdr:colOff>
      <xdr:row>1</xdr:row>
      <xdr:rowOff>163286</xdr:rowOff>
    </xdr:from>
    <xdr:to>
      <xdr:col>2</xdr:col>
      <xdr:colOff>2054678</xdr:colOff>
      <xdr:row>2</xdr:row>
      <xdr:rowOff>319389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035" y="1129393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1627910</xdr:colOff>
      <xdr:row>0</xdr:row>
      <xdr:rowOff>138546</xdr:rowOff>
    </xdr:from>
    <xdr:to>
      <xdr:col>32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03835" y="138546"/>
          <a:ext cx="2192482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176893</xdr:colOff>
      <xdr:row>1</xdr:row>
      <xdr:rowOff>122464</xdr:rowOff>
    </xdr:from>
    <xdr:to>
      <xdr:col>2</xdr:col>
      <xdr:colOff>2109107</xdr:colOff>
      <xdr:row>2</xdr:row>
      <xdr:rowOff>278567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464" y="1088571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1627910</xdr:colOff>
      <xdr:row>0</xdr:row>
      <xdr:rowOff>138546</xdr:rowOff>
    </xdr:from>
    <xdr:to>
      <xdr:col>32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09110" y="138546"/>
          <a:ext cx="2192482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176893</xdr:colOff>
      <xdr:row>1</xdr:row>
      <xdr:rowOff>122464</xdr:rowOff>
    </xdr:from>
    <xdr:to>
      <xdr:col>2</xdr:col>
      <xdr:colOff>2109107</xdr:colOff>
      <xdr:row>2</xdr:row>
      <xdr:rowOff>278567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8743" y="1084489"/>
          <a:ext cx="1932214" cy="679978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1627910</xdr:colOff>
      <xdr:row>0</xdr:row>
      <xdr:rowOff>138546</xdr:rowOff>
    </xdr:from>
    <xdr:to>
      <xdr:col>32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8635" y="138546"/>
          <a:ext cx="2192482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217715</xdr:colOff>
      <xdr:row>1</xdr:row>
      <xdr:rowOff>204107</xdr:rowOff>
    </xdr:from>
    <xdr:to>
      <xdr:col>2</xdr:col>
      <xdr:colOff>2149929</xdr:colOff>
      <xdr:row>2</xdr:row>
      <xdr:rowOff>360210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86" y="1170214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1627910</xdr:colOff>
      <xdr:row>0</xdr:row>
      <xdr:rowOff>138546</xdr:rowOff>
    </xdr:from>
    <xdr:to>
      <xdr:col>32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9060" y="138546"/>
          <a:ext cx="2192482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2027464</xdr:colOff>
      <xdr:row>2</xdr:row>
      <xdr:rowOff>346603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1152525"/>
          <a:ext cx="1932214" cy="679978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1627910</xdr:colOff>
      <xdr:row>0</xdr:row>
      <xdr:rowOff>138546</xdr:rowOff>
    </xdr:from>
    <xdr:to>
      <xdr:col>50</xdr:col>
      <xdr:colOff>277092</xdr:colOff>
      <xdr:row>1</xdr:row>
      <xdr:rowOff>389656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1235" y="138546"/>
          <a:ext cx="2163907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108857</xdr:colOff>
      <xdr:row>1</xdr:row>
      <xdr:rowOff>163286</xdr:rowOff>
    </xdr:from>
    <xdr:to>
      <xdr:col>2</xdr:col>
      <xdr:colOff>2041071</xdr:colOff>
      <xdr:row>2</xdr:row>
      <xdr:rowOff>319389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3428" y="1129393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1627910</xdr:colOff>
      <xdr:row>0</xdr:row>
      <xdr:rowOff>138546</xdr:rowOff>
    </xdr:from>
    <xdr:to>
      <xdr:col>53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39935" y="138546"/>
          <a:ext cx="2163907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2027464</xdr:colOff>
      <xdr:row>2</xdr:row>
      <xdr:rowOff>346603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1" y="1156607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1627910</xdr:colOff>
      <xdr:row>0</xdr:row>
      <xdr:rowOff>138546</xdr:rowOff>
    </xdr:from>
    <xdr:to>
      <xdr:col>53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06760" y="138546"/>
          <a:ext cx="2163907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149679</xdr:colOff>
      <xdr:row>1</xdr:row>
      <xdr:rowOff>190500</xdr:rowOff>
    </xdr:from>
    <xdr:to>
      <xdr:col>2</xdr:col>
      <xdr:colOff>2081893</xdr:colOff>
      <xdr:row>2</xdr:row>
      <xdr:rowOff>346603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156607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1627910</xdr:colOff>
      <xdr:row>0</xdr:row>
      <xdr:rowOff>138546</xdr:rowOff>
    </xdr:from>
    <xdr:to>
      <xdr:col>53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39935" y="138546"/>
          <a:ext cx="2163907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231322</xdr:colOff>
      <xdr:row>1</xdr:row>
      <xdr:rowOff>176893</xdr:rowOff>
    </xdr:from>
    <xdr:to>
      <xdr:col>2</xdr:col>
      <xdr:colOff>2163536</xdr:colOff>
      <xdr:row>2</xdr:row>
      <xdr:rowOff>332996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5893" y="1143000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1627910</xdr:colOff>
      <xdr:row>0</xdr:row>
      <xdr:rowOff>138546</xdr:rowOff>
    </xdr:from>
    <xdr:to>
      <xdr:col>61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39935" y="138546"/>
          <a:ext cx="2163907" cy="12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149679</xdr:colOff>
      <xdr:row>1</xdr:row>
      <xdr:rowOff>217714</xdr:rowOff>
    </xdr:from>
    <xdr:to>
      <xdr:col>2</xdr:col>
      <xdr:colOff>2081893</xdr:colOff>
      <xdr:row>2</xdr:row>
      <xdr:rowOff>373817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183821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1627910</xdr:colOff>
      <xdr:row>0</xdr:row>
      <xdr:rowOff>138546</xdr:rowOff>
    </xdr:from>
    <xdr:to>
      <xdr:col>48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6385" y="138546"/>
          <a:ext cx="1039957" cy="24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136073</xdr:colOff>
      <xdr:row>1</xdr:row>
      <xdr:rowOff>136071</xdr:rowOff>
    </xdr:from>
    <xdr:to>
      <xdr:col>2</xdr:col>
      <xdr:colOff>2068287</xdr:colOff>
      <xdr:row>2</xdr:row>
      <xdr:rowOff>292174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644" y="1102178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1627910</xdr:colOff>
      <xdr:row>0</xdr:row>
      <xdr:rowOff>138546</xdr:rowOff>
    </xdr:from>
    <xdr:to>
      <xdr:col>32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9410" y="138546"/>
          <a:ext cx="1039957" cy="24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163286</xdr:colOff>
      <xdr:row>1</xdr:row>
      <xdr:rowOff>149678</xdr:rowOff>
    </xdr:from>
    <xdr:to>
      <xdr:col>2</xdr:col>
      <xdr:colOff>2095500</xdr:colOff>
      <xdr:row>2</xdr:row>
      <xdr:rowOff>305781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57" y="1115785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1627910</xdr:colOff>
      <xdr:row>0</xdr:row>
      <xdr:rowOff>138546</xdr:rowOff>
    </xdr:from>
    <xdr:to>
      <xdr:col>36</xdr:col>
      <xdr:colOff>277092</xdr:colOff>
      <xdr:row>1</xdr:row>
      <xdr:rowOff>389656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41760" y="138546"/>
          <a:ext cx="1039957" cy="24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163286</xdr:colOff>
      <xdr:row>1</xdr:row>
      <xdr:rowOff>176893</xdr:rowOff>
    </xdr:from>
    <xdr:to>
      <xdr:col>2</xdr:col>
      <xdr:colOff>2095500</xdr:colOff>
      <xdr:row>2</xdr:row>
      <xdr:rowOff>332996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57" y="1143000"/>
          <a:ext cx="1932214" cy="686782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relaxedInset"/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69"/>
  <sheetViews>
    <sheetView topLeftCell="D1" zoomScale="70" zoomScaleNormal="70" workbookViewId="0">
      <selection activeCell="K7" sqref="K7"/>
    </sheetView>
  </sheetViews>
  <sheetFormatPr baseColWidth="10" defaultRowHeight="12.75" x14ac:dyDescent="0.2"/>
  <cols>
    <col min="1" max="1" width="37.5703125" style="2" customWidth="1"/>
    <col min="2" max="2" width="34.28515625" style="2" customWidth="1"/>
    <col min="3" max="3" width="35.140625" style="2" customWidth="1"/>
    <col min="4" max="4" width="31.85546875" style="3" customWidth="1"/>
    <col min="5" max="5" width="14.42578125" style="3" customWidth="1"/>
    <col min="6" max="6" width="25.5703125" style="3" customWidth="1"/>
    <col min="7" max="7" width="26.28515625" style="3" customWidth="1"/>
    <col min="8" max="8" width="16.140625" style="3" customWidth="1"/>
    <col min="9" max="9" width="19.42578125" style="2" customWidth="1"/>
    <col min="10" max="10" width="14.85546875" style="2" customWidth="1"/>
    <col min="11" max="11" width="15.28515625" style="2" customWidth="1"/>
    <col min="12" max="12" width="14.28515625" style="2" customWidth="1"/>
    <col min="13" max="13" width="17.28515625" style="2" customWidth="1"/>
    <col min="14" max="14" width="17.7109375" style="2" customWidth="1"/>
    <col min="15" max="15" width="17.85546875" style="2" customWidth="1"/>
    <col min="16" max="16" width="19.140625" style="2" customWidth="1"/>
    <col min="17" max="17" width="18.7109375" style="2" customWidth="1"/>
    <col min="18" max="18" width="21" style="2" customWidth="1"/>
    <col min="19" max="19" width="11.42578125" style="2"/>
    <col min="20" max="20" width="11.42578125" style="2" customWidth="1"/>
    <col min="21" max="16384" width="11.42578125" style="2"/>
  </cols>
  <sheetData>
    <row r="1" spans="1:18" ht="53.25" customHeight="1" x14ac:dyDescent="0.2">
      <c r="A1" s="1"/>
      <c r="B1" s="410" t="s">
        <v>0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</row>
    <row r="2" spans="1:18" ht="21" customHeight="1" x14ac:dyDescent="0.2">
      <c r="A2" s="412"/>
      <c r="B2" s="414" t="s">
        <v>191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</row>
    <row r="3" spans="1:18" ht="16.5" customHeight="1" thickBot="1" x14ac:dyDescent="0.25">
      <c r="A3" s="413"/>
      <c r="B3" s="416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</row>
    <row r="4" spans="1:18" ht="9.75" customHeight="1" x14ac:dyDescent="0.25">
      <c r="A4" s="418"/>
      <c r="B4" s="418"/>
      <c r="C4" s="418"/>
    </row>
    <row r="5" spans="1:18" ht="57" customHeight="1" x14ac:dyDescent="0.2">
      <c r="A5" s="422" t="s">
        <v>1</v>
      </c>
      <c r="B5" s="422" t="s">
        <v>2</v>
      </c>
      <c r="C5" s="422" t="s">
        <v>3</v>
      </c>
      <c r="D5" s="422" t="s">
        <v>4</v>
      </c>
      <c r="E5" s="422" t="s">
        <v>5</v>
      </c>
      <c r="F5" s="422" t="s">
        <v>6</v>
      </c>
      <c r="G5" s="422" t="s">
        <v>7</v>
      </c>
      <c r="H5" s="422" t="s">
        <v>8</v>
      </c>
      <c r="I5" s="422" t="s">
        <v>9</v>
      </c>
      <c r="J5" s="427" t="s">
        <v>10</v>
      </c>
      <c r="K5" s="427"/>
      <c r="L5" s="427"/>
      <c r="M5" s="428"/>
      <c r="N5" s="419" t="s">
        <v>11</v>
      </c>
      <c r="O5" s="420"/>
      <c r="P5" s="420"/>
      <c r="Q5" s="420"/>
      <c r="R5" s="421"/>
    </row>
    <row r="6" spans="1:18" ht="63" customHeight="1" x14ac:dyDescent="0.2">
      <c r="A6" s="423"/>
      <c r="B6" s="423"/>
      <c r="C6" s="423"/>
      <c r="D6" s="423"/>
      <c r="E6" s="423"/>
      <c r="F6" s="423"/>
      <c r="G6" s="423"/>
      <c r="H6" s="423"/>
      <c r="I6" s="423"/>
      <c r="J6" s="4" t="s">
        <v>12</v>
      </c>
      <c r="K6" s="4" t="s">
        <v>13</v>
      </c>
      <c r="L6" s="4" t="s">
        <v>14</v>
      </c>
      <c r="M6" s="4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18" ht="66" customHeight="1" x14ac:dyDescent="0.2">
      <c r="A7" s="429" t="s">
        <v>21</v>
      </c>
      <c r="B7" s="429" t="s">
        <v>22</v>
      </c>
      <c r="C7" s="429" t="s">
        <v>23</v>
      </c>
      <c r="D7" s="424" t="s">
        <v>24</v>
      </c>
      <c r="E7" s="432">
        <v>0.4</v>
      </c>
      <c r="F7" s="40" t="s">
        <v>25</v>
      </c>
      <c r="G7" s="6" t="s">
        <v>26</v>
      </c>
      <c r="I7" s="424" t="s">
        <v>27</v>
      </c>
      <c r="J7" s="44"/>
      <c r="K7" s="44"/>
      <c r="L7" s="45"/>
      <c r="M7" s="46"/>
      <c r="N7" s="9" t="str">
        <f>IFERROR((J7*100%)/#REF!,"-")</f>
        <v>-</v>
      </c>
      <c r="O7" s="9">
        <v>0.85</v>
      </c>
      <c r="P7" s="9" t="str">
        <f>IFERROR((L7*100%)/#REF!,"-")</f>
        <v>-</v>
      </c>
      <c r="Q7" s="9" t="str">
        <f>IFERROR((M7*100%)/#REF!,"-")</f>
        <v>-</v>
      </c>
      <c r="R7" s="9">
        <f>IFERROR(AVERAGE(N7:Q7),"-")</f>
        <v>0.85</v>
      </c>
    </row>
    <row r="8" spans="1:18" ht="66" customHeight="1" x14ac:dyDescent="0.2">
      <c r="A8" s="430"/>
      <c r="B8" s="430"/>
      <c r="C8" s="430"/>
      <c r="D8" s="425"/>
      <c r="E8" s="433"/>
      <c r="F8" s="40" t="s">
        <v>28</v>
      </c>
      <c r="G8" s="6" t="s">
        <v>29</v>
      </c>
      <c r="I8" s="425"/>
      <c r="J8" s="7"/>
      <c r="K8" s="7"/>
      <c r="L8" s="8"/>
      <c r="M8" s="10"/>
      <c r="N8" s="9" t="str">
        <f>IFERROR((J8*100%)/#REF!,"-")</f>
        <v>-</v>
      </c>
      <c r="O8" s="9" t="str">
        <f>IFERROR((K8*100%)/#REF!,"-")</f>
        <v>-</v>
      </c>
      <c r="P8" s="9" t="str">
        <f>IFERROR((L8*100%)/#REF!,"-")</f>
        <v>-</v>
      </c>
      <c r="Q8" s="9" t="str">
        <f>IFERROR((M8*100%)/#REF!,"-")</f>
        <v>-</v>
      </c>
      <c r="R8" s="9" t="str">
        <f t="shared" ref="R8:R68" si="0">IFERROR(AVERAGE(N8:Q8),"-")</f>
        <v>-</v>
      </c>
    </row>
    <row r="9" spans="1:18" ht="66" customHeight="1" x14ac:dyDescent="0.2">
      <c r="A9" s="430"/>
      <c r="B9" s="430"/>
      <c r="C9" s="430"/>
      <c r="D9" s="425"/>
      <c r="E9" s="433"/>
      <c r="F9" s="40" t="s">
        <v>30</v>
      </c>
      <c r="G9" s="6" t="s">
        <v>31</v>
      </c>
      <c r="I9" s="425"/>
      <c r="J9" s="7"/>
      <c r="K9" s="7"/>
      <c r="L9" s="8"/>
      <c r="M9" s="10"/>
      <c r="N9" s="9" t="str">
        <f>IFERROR((J9*100%)/#REF!,"-")</f>
        <v>-</v>
      </c>
      <c r="O9" s="9" t="str">
        <f>IFERROR((K9*100%)/#REF!,"-")</f>
        <v>-</v>
      </c>
      <c r="P9" s="9" t="str">
        <f>IFERROR((L9*100%)/#REF!,"-")</f>
        <v>-</v>
      </c>
      <c r="Q9" s="9" t="str">
        <f>IFERROR((M9*100%)/#REF!,"-")</f>
        <v>-</v>
      </c>
      <c r="R9" s="9" t="str">
        <f t="shared" si="0"/>
        <v>-</v>
      </c>
    </row>
    <row r="10" spans="1:18" ht="66" customHeight="1" x14ac:dyDescent="0.2">
      <c r="A10" s="431"/>
      <c r="B10" s="431"/>
      <c r="C10" s="431"/>
      <c r="D10" s="426"/>
      <c r="E10" s="434"/>
      <c r="F10" s="40" t="s">
        <v>32</v>
      </c>
      <c r="G10" s="6" t="s">
        <v>33</v>
      </c>
      <c r="I10" s="426"/>
      <c r="J10" s="7"/>
      <c r="K10" s="7"/>
      <c r="L10" s="8"/>
      <c r="M10" s="10"/>
      <c r="N10" s="9" t="str">
        <f>IFERROR((J10*100%)/#REF!,"-")</f>
        <v>-</v>
      </c>
      <c r="O10" s="9" t="str">
        <f>IFERROR((K10*100%)/#REF!,"-")</f>
        <v>-</v>
      </c>
      <c r="P10" s="9" t="str">
        <f>IFERROR((L10*100%)/#REF!,"-")</f>
        <v>-</v>
      </c>
      <c r="Q10" s="9" t="str">
        <f>IFERROR((M10*100%)/#REF!,"-")</f>
        <v>-</v>
      </c>
      <c r="R10" s="9" t="str">
        <f t="shared" si="0"/>
        <v>-</v>
      </c>
    </row>
    <row r="11" spans="1:18" ht="81" customHeight="1" x14ac:dyDescent="0.2">
      <c r="A11" s="424" t="s">
        <v>34</v>
      </c>
      <c r="B11" s="424" t="s">
        <v>35</v>
      </c>
      <c r="C11" s="424" t="s">
        <v>36</v>
      </c>
      <c r="D11" s="424" t="s">
        <v>37</v>
      </c>
      <c r="E11" s="432">
        <v>0.35</v>
      </c>
      <c r="F11" s="40" t="s">
        <v>38</v>
      </c>
      <c r="G11" s="6" t="s">
        <v>39</v>
      </c>
      <c r="H11" s="6">
        <v>1</v>
      </c>
      <c r="I11" s="424" t="s">
        <v>40</v>
      </c>
      <c r="J11" s="7"/>
      <c r="K11" s="7"/>
      <c r="L11" s="7"/>
      <c r="M11" s="7"/>
      <c r="N11" s="9">
        <f>IFERROR((J11*100%)/H11,"-")</f>
        <v>0</v>
      </c>
      <c r="O11" s="9">
        <f t="shared" ref="O11:O45" si="1">IFERROR((K11*100%)/H11,"-")</f>
        <v>0</v>
      </c>
      <c r="P11" s="9">
        <f t="shared" ref="P11:P45" si="2">IFERROR((L11*100%)/H11,"-")</f>
        <v>0</v>
      </c>
      <c r="Q11" s="9">
        <f t="shared" ref="Q11:Q42" si="3">IFERROR((M11*100%)/H11,"-")</f>
        <v>0</v>
      </c>
      <c r="R11" s="9">
        <f t="shared" si="0"/>
        <v>0</v>
      </c>
    </row>
    <row r="12" spans="1:18" ht="81" customHeight="1" x14ac:dyDescent="0.2">
      <c r="A12" s="425"/>
      <c r="B12" s="425"/>
      <c r="C12" s="425"/>
      <c r="D12" s="425"/>
      <c r="E12" s="433"/>
      <c r="F12" s="40" t="s">
        <v>41</v>
      </c>
      <c r="G12" s="6" t="s">
        <v>39</v>
      </c>
      <c r="H12" s="6">
        <v>1</v>
      </c>
      <c r="I12" s="425"/>
      <c r="J12" s="7"/>
      <c r="K12" s="7"/>
      <c r="L12" s="7"/>
      <c r="M12" s="7"/>
      <c r="N12" s="9">
        <f t="shared" ref="N12:N37" si="4">IFERROR((J12*100%)/H12,"-")</f>
        <v>0</v>
      </c>
      <c r="O12" s="9">
        <f t="shared" si="1"/>
        <v>0</v>
      </c>
      <c r="P12" s="9">
        <f t="shared" si="2"/>
        <v>0</v>
      </c>
      <c r="Q12" s="9">
        <f t="shared" si="3"/>
        <v>0</v>
      </c>
      <c r="R12" s="9">
        <f t="shared" si="0"/>
        <v>0</v>
      </c>
    </row>
    <row r="13" spans="1:18" ht="81" customHeight="1" x14ac:dyDescent="0.2">
      <c r="A13" s="425"/>
      <c r="B13" s="425"/>
      <c r="C13" s="425"/>
      <c r="D13" s="425"/>
      <c r="E13" s="433"/>
      <c r="F13" s="40" t="s">
        <v>42</v>
      </c>
      <c r="G13" s="6" t="s">
        <v>39</v>
      </c>
      <c r="H13" s="6">
        <v>1</v>
      </c>
      <c r="I13" s="425"/>
      <c r="J13" s="7"/>
      <c r="K13" s="7"/>
      <c r="L13" s="7"/>
      <c r="M13" s="7"/>
      <c r="N13" s="9">
        <f t="shared" si="4"/>
        <v>0</v>
      </c>
      <c r="O13" s="9">
        <f t="shared" si="1"/>
        <v>0</v>
      </c>
      <c r="P13" s="9">
        <f t="shared" si="2"/>
        <v>0</v>
      </c>
      <c r="Q13" s="9">
        <f t="shared" si="3"/>
        <v>0</v>
      </c>
      <c r="R13" s="9">
        <f t="shared" si="0"/>
        <v>0</v>
      </c>
    </row>
    <row r="14" spans="1:18" ht="81" customHeight="1" x14ac:dyDescent="0.2">
      <c r="A14" s="425"/>
      <c r="B14" s="425"/>
      <c r="C14" s="425"/>
      <c r="D14" s="425"/>
      <c r="E14" s="433"/>
      <c r="F14" s="40" t="s">
        <v>43</v>
      </c>
      <c r="G14" s="6" t="s">
        <v>39</v>
      </c>
      <c r="H14" s="6">
        <v>1</v>
      </c>
      <c r="I14" s="425"/>
      <c r="J14" s="7"/>
      <c r="K14" s="7"/>
      <c r="L14" s="7"/>
      <c r="M14" s="7"/>
      <c r="N14" s="9">
        <f t="shared" si="4"/>
        <v>0</v>
      </c>
      <c r="O14" s="9">
        <f t="shared" si="1"/>
        <v>0</v>
      </c>
      <c r="P14" s="9">
        <f t="shared" si="2"/>
        <v>0</v>
      </c>
      <c r="Q14" s="9">
        <f t="shared" si="3"/>
        <v>0</v>
      </c>
      <c r="R14" s="9">
        <f t="shared" si="0"/>
        <v>0</v>
      </c>
    </row>
    <row r="15" spans="1:18" ht="81" customHeight="1" x14ac:dyDescent="0.2">
      <c r="A15" s="425"/>
      <c r="B15" s="425"/>
      <c r="C15" s="425"/>
      <c r="D15" s="425"/>
      <c r="E15" s="433"/>
      <c r="F15" s="40" t="s">
        <v>44</v>
      </c>
      <c r="G15" s="6" t="s">
        <v>39</v>
      </c>
      <c r="H15" s="6">
        <v>1</v>
      </c>
      <c r="I15" s="425"/>
      <c r="J15" s="7"/>
      <c r="K15" s="7"/>
      <c r="L15" s="7"/>
      <c r="M15" s="7"/>
      <c r="N15" s="9">
        <f t="shared" si="4"/>
        <v>0</v>
      </c>
      <c r="O15" s="9">
        <f t="shared" si="1"/>
        <v>0</v>
      </c>
      <c r="P15" s="9">
        <f t="shared" si="2"/>
        <v>0</v>
      </c>
      <c r="Q15" s="9">
        <f t="shared" si="3"/>
        <v>0</v>
      </c>
      <c r="R15" s="9">
        <f t="shared" si="0"/>
        <v>0</v>
      </c>
    </row>
    <row r="16" spans="1:18" ht="81" customHeight="1" x14ac:dyDescent="0.2">
      <c r="A16" s="425"/>
      <c r="B16" s="425"/>
      <c r="C16" s="425"/>
      <c r="D16" s="425"/>
      <c r="E16" s="433"/>
      <c r="F16" s="40" t="s">
        <v>45</v>
      </c>
      <c r="G16" s="6" t="s">
        <v>39</v>
      </c>
      <c r="H16" s="6">
        <v>1</v>
      </c>
      <c r="I16" s="425"/>
      <c r="J16" s="7"/>
      <c r="K16" s="7"/>
      <c r="L16" s="7"/>
      <c r="M16" s="7"/>
      <c r="N16" s="9">
        <f t="shared" si="4"/>
        <v>0</v>
      </c>
      <c r="O16" s="9">
        <f t="shared" si="1"/>
        <v>0</v>
      </c>
      <c r="P16" s="9">
        <f t="shared" si="2"/>
        <v>0</v>
      </c>
      <c r="Q16" s="9">
        <f t="shared" si="3"/>
        <v>0</v>
      </c>
      <c r="R16" s="9">
        <f t="shared" si="0"/>
        <v>0</v>
      </c>
    </row>
    <row r="17" spans="1:18" ht="81" customHeight="1" x14ac:dyDescent="0.2">
      <c r="A17" s="425"/>
      <c r="B17" s="425"/>
      <c r="C17" s="425"/>
      <c r="D17" s="425"/>
      <c r="E17" s="433"/>
      <c r="F17" s="40" t="s">
        <v>46</v>
      </c>
      <c r="G17" s="6" t="s">
        <v>39</v>
      </c>
      <c r="H17" s="6">
        <v>1</v>
      </c>
      <c r="I17" s="425"/>
      <c r="J17" s="7"/>
      <c r="K17" s="7"/>
      <c r="L17" s="7"/>
      <c r="M17" s="7"/>
      <c r="N17" s="9">
        <f t="shared" si="4"/>
        <v>0</v>
      </c>
      <c r="O17" s="9">
        <f t="shared" si="1"/>
        <v>0</v>
      </c>
      <c r="P17" s="9">
        <f t="shared" si="2"/>
        <v>0</v>
      </c>
      <c r="Q17" s="9">
        <f t="shared" si="3"/>
        <v>0</v>
      </c>
      <c r="R17" s="9">
        <f t="shared" si="0"/>
        <v>0</v>
      </c>
    </row>
    <row r="18" spans="1:18" ht="81" customHeight="1" x14ac:dyDescent="0.2">
      <c r="A18" s="426"/>
      <c r="B18" s="426"/>
      <c r="C18" s="426"/>
      <c r="D18" s="426"/>
      <c r="E18" s="434"/>
      <c r="F18" s="6" t="s">
        <v>47</v>
      </c>
      <c r="G18" s="6" t="s">
        <v>39</v>
      </c>
      <c r="H18" s="6">
        <v>1</v>
      </c>
      <c r="I18" s="426"/>
      <c r="J18" s="7"/>
      <c r="K18" s="7"/>
      <c r="L18" s="7"/>
      <c r="M18" s="7"/>
      <c r="N18" s="9">
        <f t="shared" si="4"/>
        <v>0</v>
      </c>
      <c r="O18" s="9">
        <f t="shared" si="1"/>
        <v>0</v>
      </c>
      <c r="P18" s="9">
        <f t="shared" si="2"/>
        <v>0</v>
      </c>
      <c r="Q18" s="9">
        <f t="shared" si="3"/>
        <v>0</v>
      </c>
      <c r="R18" s="9">
        <f t="shared" si="0"/>
        <v>0</v>
      </c>
    </row>
    <row r="19" spans="1:18" ht="56.25" customHeight="1" x14ac:dyDescent="0.2">
      <c r="A19" s="429" t="s">
        <v>48</v>
      </c>
      <c r="B19" s="424" t="s">
        <v>49</v>
      </c>
      <c r="C19" s="424" t="s">
        <v>50</v>
      </c>
      <c r="D19" s="11" t="s">
        <v>51</v>
      </c>
      <c r="E19" s="11" t="s">
        <v>52</v>
      </c>
      <c r="F19" s="11"/>
      <c r="G19" s="11"/>
      <c r="H19" s="6"/>
      <c r="I19" s="11"/>
      <c r="J19" s="7"/>
      <c r="K19" s="7"/>
      <c r="L19" s="7"/>
      <c r="M19" s="10"/>
      <c r="N19" s="39" t="str">
        <f t="shared" si="4"/>
        <v>-</v>
      </c>
      <c r="O19" s="39" t="str">
        <f t="shared" si="1"/>
        <v>-</v>
      </c>
      <c r="P19" s="39" t="str">
        <f t="shared" si="2"/>
        <v>-</v>
      </c>
      <c r="Q19" s="39" t="str">
        <f t="shared" si="3"/>
        <v>-</v>
      </c>
      <c r="R19" s="39" t="str">
        <f t="shared" si="0"/>
        <v>-</v>
      </c>
    </row>
    <row r="20" spans="1:18" ht="51.75" customHeight="1" x14ac:dyDescent="0.2">
      <c r="A20" s="431"/>
      <c r="B20" s="426"/>
      <c r="C20" s="426"/>
      <c r="D20" s="11" t="s">
        <v>53</v>
      </c>
      <c r="E20" s="6">
        <v>0.65</v>
      </c>
      <c r="F20" s="11"/>
      <c r="G20" s="11"/>
      <c r="H20" s="6"/>
      <c r="I20" s="11" t="s">
        <v>54</v>
      </c>
      <c r="J20" s="7"/>
      <c r="K20" s="7"/>
      <c r="L20" s="7"/>
      <c r="M20" s="10"/>
      <c r="N20" s="39" t="str">
        <f t="shared" si="4"/>
        <v>-</v>
      </c>
      <c r="O20" s="39" t="str">
        <f t="shared" si="1"/>
        <v>-</v>
      </c>
      <c r="P20" s="39" t="str">
        <f t="shared" si="2"/>
        <v>-</v>
      </c>
      <c r="Q20" s="39" t="str">
        <f t="shared" si="3"/>
        <v>-</v>
      </c>
      <c r="R20" s="39" t="str">
        <f t="shared" si="0"/>
        <v>-</v>
      </c>
    </row>
    <row r="21" spans="1:18" ht="51" x14ac:dyDescent="0.2">
      <c r="A21" s="424" t="s">
        <v>55</v>
      </c>
      <c r="B21" s="424" t="s">
        <v>56</v>
      </c>
      <c r="C21" s="424" t="s">
        <v>57</v>
      </c>
      <c r="D21" s="424" t="s">
        <v>58</v>
      </c>
      <c r="E21" s="432">
        <v>0.4</v>
      </c>
      <c r="F21" s="11" t="s">
        <v>59</v>
      </c>
      <c r="G21" s="6" t="s">
        <v>211</v>
      </c>
      <c r="H21" s="6">
        <v>1</v>
      </c>
      <c r="I21" s="424" t="s">
        <v>40</v>
      </c>
      <c r="J21" s="10"/>
      <c r="K21" s="10"/>
      <c r="L21" s="10"/>
      <c r="M21" s="10"/>
      <c r="N21" s="9">
        <f t="shared" si="4"/>
        <v>0</v>
      </c>
      <c r="O21" s="9">
        <f t="shared" si="1"/>
        <v>0</v>
      </c>
      <c r="P21" s="9">
        <f t="shared" si="2"/>
        <v>0</v>
      </c>
      <c r="Q21" s="9">
        <f t="shared" si="3"/>
        <v>0</v>
      </c>
      <c r="R21" s="9">
        <f t="shared" si="0"/>
        <v>0</v>
      </c>
    </row>
    <row r="22" spans="1:18" ht="51" x14ac:dyDescent="0.2">
      <c r="A22" s="425"/>
      <c r="B22" s="425"/>
      <c r="C22" s="425"/>
      <c r="D22" s="425"/>
      <c r="E22" s="433"/>
      <c r="F22" s="11" t="s">
        <v>60</v>
      </c>
      <c r="G22" s="6" t="s">
        <v>211</v>
      </c>
      <c r="H22" s="6">
        <v>1</v>
      </c>
      <c r="I22" s="425"/>
      <c r="J22" s="10"/>
      <c r="K22" s="10"/>
      <c r="L22" s="10"/>
      <c r="M22" s="10"/>
      <c r="N22" s="9">
        <f t="shared" si="4"/>
        <v>0</v>
      </c>
      <c r="O22" s="9">
        <f t="shared" si="1"/>
        <v>0</v>
      </c>
      <c r="P22" s="9">
        <f t="shared" si="2"/>
        <v>0</v>
      </c>
      <c r="Q22" s="9">
        <f t="shared" si="3"/>
        <v>0</v>
      </c>
      <c r="R22" s="9">
        <f t="shared" si="0"/>
        <v>0</v>
      </c>
    </row>
    <row r="23" spans="1:18" ht="51" x14ac:dyDescent="0.2">
      <c r="A23" s="425"/>
      <c r="B23" s="425"/>
      <c r="C23" s="425"/>
      <c r="D23" s="425"/>
      <c r="E23" s="433"/>
      <c r="F23" s="11" t="s">
        <v>61</v>
      </c>
      <c r="G23" s="6" t="s">
        <v>211</v>
      </c>
      <c r="H23" s="6">
        <v>1</v>
      </c>
      <c r="I23" s="425"/>
      <c r="J23" s="10"/>
      <c r="K23" s="10"/>
      <c r="L23" s="10"/>
      <c r="M23" s="10"/>
      <c r="N23" s="9">
        <f t="shared" si="4"/>
        <v>0</v>
      </c>
      <c r="O23" s="9">
        <f t="shared" si="1"/>
        <v>0</v>
      </c>
      <c r="P23" s="9">
        <f t="shared" si="2"/>
        <v>0</v>
      </c>
      <c r="Q23" s="9">
        <f t="shared" si="3"/>
        <v>0</v>
      </c>
      <c r="R23" s="9">
        <f t="shared" si="0"/>
        <v>0</v>
      </c>
    </row>
    <row r="24" spans="1:18" ht="51" x14ac:dyDescent="0.2">
      <c r="A24" s="425"/>
      <c r="B24" s="425"/>
      <c r="C24" s="425"/>
      <c r="D24" s="425"/>
      <c r="E24" s="433"/>
      <c r="F24" s="11" t="s">
        <v>62</v>
      </c>
      <c r="G24" s="6" t="s">
        <v>211</v>
      </c>
      <c r="H24" s="6">
        <v>1</v>
      </c>
      <c r="I24" s="425"/>
      <c r="J24" s="10"/>
      <c r="K24" s="10"/>
      <c r="L24" s="10"/>
      <c r="M24" s="10"/>
      <c r="N24" s="9">
        <f t="shared" si="4"/>
        <v>0</v>
      </c>
      <c r="O24" s="9">
        <f t="shared" si="1"/>
        <v>0</v>
      </c>
      <c r="P24" s="9">
        <f t="shared" si="2"/>
        <v>0</v>
      </c>
      <c r="Q24" s="9">
        <f t="shared" si="3"/>
        <v>0</v>
      </c>
      <c r="R24" s="9">
        <f t="shared" si="0"/>
        <v>0</v>
      </c>
    </row>
    <row r="25" spans="1:18" ht="51" x14ac:dyDescent="0.2">
      <c r="A25" s="425"/>
      <c r="B25" s="425"/>
      <c r="C25" s="425"/>
      <c r="D25" s="425"/>
      <c r="E25" s="433"/>
      <c r="F25" s="11" t="s">
        <v>63</v>
      </c>
      <c r="G25" s="6" t="s">
        <v>211</v>
      </c>
      <c r="H25" s="6">
        <v>1</v>
      </c>
      <c r="I25" s="425"/>
      <c r="J25" s="10"/>
      <c r="K25" s="10"/>
      <c r="L25" s="10"/>
      <c r="M25" s="10"/>
      <c r="N25" s="9">
        <f t="shared" si="4"/>
        <v>0</v>
      </c>
      <c r="O25" s="9">
        <f t="shared" si="1"/>
        <v>0</v>
      </c>
      <c r="P25" s="9">
        <f t="shared" si="2"/>
        <v>0</v>
      </c>
      <c r="Q25" s="9">
        <f t="shared" si="3"/>
        <v>0</v>
      </c>
      <c r="R25" s="9">
        <f t="shared" si="0"/>
        <v>0</v>
      </c>
    </row>
    <row r="26" spans="1:18" ht="51" x14ac:dyDescent="0.2">
      <c r="A26" s="425"/>
      <c r="B26" s="425"/>
      <c r="C26" s="425"/>
      <c r="D26" s="425"/>
      <c r="E26" s="433"/>
      <c r="F26" s="11" t="s">
        <v>64</v>
      </c>
      <c r="G26" s="6" t="s">
        <v>211</v>
      </c>
      <c r="H26" s="6">
        <v>1</v>
      </c>
      <c r="I26" s="425"/>
      <c r="J26" s="10"/>
      <c r="K26" s="10"/>
      <c r="L26" s="10"/>
      <c r="M26" s="10"/>
      <c r="N26" s="9">
        <f t="shared" si="4"/>
        <v>0</v>
      </c>
      <c r="O26" s="9">
        <f t="shared" si="1"/>
        <v>0</v>
      </c>
      <c r="P26" s="9">
        <f t="shared" si="2"/>
        <v>0</v>
      </c>
      <c r="Q26" s="9">
        <f t="shared" si="3"/>
        <v>0</v>
      </c>
      <c r="R26" s="9">
        <f t="shared" si="0"/>
        <v>0</v>
      </c>
    </row>
    <row r="27" spans="1:18" ht="51" x14ac:dyDescent="0.2">
      <c r="A27" s="425"/>
      <c r="B27" s="425"/>
      <c r="C27" s="425"/>
      <c r="D27" s="425"/>
      <c r="E27" s="433"/>
      <c r="F27" s="11" t="s">
        <v>65</v>
      </c>
      <c r="G27" s="6" t="s">
        <v>211</v>
      </c>
      <c r="H27" s="6">
        <v>1</v>
      </c>
      <c r="I27" s="425"/>
      <c r="J27" s="10"/>
      <c r="K27" s="10"/>
      <c r="L27" s="10"/>
      <c r="M27" s="10"/>
      <c r="N27" s="9">
        <f t="shared" si="4"/>
        <v>0</v>
      </c>
      <c r="O27" s="9">
        <f t="shared" si="1"/>
        <v>0</v>
      </c>
      <c r="P27" s="9">
        <f t="shared" si="2"/>
        <v>0</v>
      </c>
      <c r="Q27" s="9">
        <f t="shared" si="3"/>
        <v>0</v>
      </c>
      <c r="R27" s="9">
        <f t="shared" si="0"/>
        <v>0</v>
      </c>
    </row>
    <row r="28" spans="1:18" ht="51" x14ac:dyDescent="0.2">
      <c r="A28" s="425"/>
      <c r="B28" s="425"/>
      <c r="C28" s="425"/>
      <c r="D28" s="425"/>
      <c r="E28" s="433"/>
      <c r="F28" s="11" t="s">
        <v>66</v>
      </c>
      <c r="G28" s="6" t="s">
        <v>211</v>
      </c>
      <c r="H28" s="6">
        <v>1</v>
      </c>
      <c r="I28" s="425"/>
      <c r="J28" s="10"/>
      <c r="K28" s="10"/>
      <c r="L28" s="10"/>
      <c r="M28" s="10"/>
      <c r="N28" s="9">
        <f t="shared" si="4"/>
        <v>0</v>
      </c>
      <c r="O28" s="9">
        <f t="shared" si="1"/>
        <v>0</v>
      </c>
      <c r="P28" s="9">
        <f t="shared" si="2"/>
        <v>0</v>
      </c>
      <c r="Q28" s="9">
        <f t="shared" si="3"/>
        <v>0</v>
      </c>
      <c r="R28" s="9">
        <f t="shared" si="0"/>
        <v>0</v>
      </c>
    </row>
    <row r="29" spans="1:18" ht="51" x14ac:dyDescent="0.2">
      <c r="A29" s="425"/>
      <c r="B29" s="425"/>
      <c r="C29" s="425"/>
      <c r="D29" s="425"/>
      <c r="E29" s="433"/>
      <c r="F29" s="11" t="s">
        <v>67</v>
      </c>
      <c r="G29" s="6" t="s">
        <v>211</v>
      </c>
      <c r="H29" s="6">
        <v>1</v>
      </c>
      <c r="I29" s="425"/>
      <c r="J29" s="10"/>
      <c r="K29" s="10"/>
      <c r="L29" s="10"/>
      <c r="M29" s="10"/>
      <c r="N29" s="9">
        <f t="shared" si="4"/>
        <v>0</v>
      </c>
      <c r="O29" s="9">
        <f t="shared" si="1"/>
        <v>0</v>
      </c>
      <c r="P29" s="9">
        <f t="shared" si="2"/>
        <v>0</v>
      </c>
      <c r="Q29" s="9">
        <f t="shared" si="3"/>
        <v>0</v>
      </c>
      <c r="R29" s="9">
        <f t="shared" si="0"/>
        <v>0</v>
      </c>
    </row>
    <row r="30" spans="1:18" ht="51" x14ac:dyDescent="0.2">
      <c r="A30" s="425"/>
      <c r="B30" s="425"/>
      <c r="C30" s="425"/>
      <c r="D30" s="425"/>
      <c r="E30" s="433"/>
      <c r="F30" s="11" t="s">
        <v>68</v>
      </c>
      <c r="G30" s="6" t="s">
        <v>211</v>
      </c>
      <c r="H30" s="6">
        <v>1</v>
      </c>
      <c r="I30" s="425"/>
      <c r="J30" s="10"/>
      <c r="K30" s="10"/>
      <c r="L30" s="10"/>
      <c r="M30" s="10"/>
      <c r="N30" s="9">
        <f t="shared" si="4"/>
        <v>0</v>
      </c>
      <c r="O30" s="9">
        <f t="shared" si="1"/>
        <v>0</v>
      </c>
      <c r="P30" s="9">
        <f t="shared" si="2"/>
        <v>0</v>
      </c>
      <c r="Q30" s="9">
        <f t="shared" si="3"/>
        <v>0</v>
      </c>
      <c r="R30" s="9">
        <f t="shared" si="0"/>
        <v>0</v>
      </c>
    </row>
    <row r="31" spans="1:18" ht="51" x14ac:dyDescent="0.2">
      <c r="A31" s="425"/>
      <c r="B31" s="425"/>
      <c r="C31" s="425"/>
      <c r="D31" s="425"/>
      <c r="E31" s="433"/>
      <c r="F31" s="11" t="s">
        <v>69</v>
      </c>
      <c r="G31" s="6" t="s">
        <v>211</v>
      </c>
      <c r="H31" s="6">
        <v>1</v>
      </c>
      <c r="I31" s="425"/>
      <c r="J31" s="10"/>
      <c r="K31" s="10"/>
      <c r="L31" s="10"/>
      <c r="M31" s="10"/>
      <c r="N31" s="9">
        <f t="shared" si="4"/>
        <v>0</v>
      </c>
      <c r="O31" s="9">
        <f t="shared" si="1"/>
        <v>0</v>
      </c>
      <c r="P31" s="9">
        <f t="shared" si="2"/>
        <v>0</v>
      </c>
      <c r="Q31" s="9">
        <f t="shared" si="3"/>
        <v>0</v>
      </c>
      <c r="R31" s="9">
        <f t="shared" si="0"/>
        <v>0</v>
      </c>
    </row>
    <row r="32" spans="1:18" ht="51" x14ac:dyDescent="0.2">
      <c r="A32" s="425"/>
      <c r="B32" s="425"/>
      <c r="C32" s="425"/>
      <c r="D32" s="425"/>
      <c r="E32" s="433"/>
      <c r="F32" s="11" t="s">
        <v>70</v>
      </c>
      <c r="G32" s="6" t="s">
        <v>211</v>
      </c>
      <c r="H32" s="6">
        <v>1</v>
      </c>
      <c r="I32" s="425"/>
      <c r="J32" s="10"/>
      <c r="K32" s="10"/>
      <c r="L32" s="10"/>
      <c r="M32" s="10"/>
      <c r="N32" s="9">
        <f t="shared" si="4"/>
        <v>0</v>
      </c>
      <c r="O32" s="9">
        <f t="shared" si="1"/>
        <v>0</v>
      </c>
      <c r="P32" s="9">
        <f t="shared" si="2"/>
        <v>0</v>
      </c>
      <c r="Q32" s="9">
        <f t="shared" si="3"/>
        <v>0</v>
      </c>
      <c r="R32" s="9">
        <f t="shared" si="0"/>
        <v>0</v>
      </c>
    </row>
    <row r="33" spans="1:18" ht="51" x14ac:dyDescent="0.2">
      <c r="A33" s="425"/>
      <c r="B33" s="425"/>
      <c r="C33" s="425"/>
      <c r="D33" s="425"/>
      <c r="E33" s="433"/>
      <c r="F33" s="11" t="s">
        <v>71</v>
      </c>
      <c r="G33" s="6" t="s">
        <v>211</v>
      </c>
      <c r="H33" s="6">
        <v>1</v>
      </c>
      <c r="I33" s="425"/>
      <c r="J33" s="10"/>
      <c r="K33" s="10"/>
      <c r="L33" s="10"/>
      <c r="M33" s="10"/>
      <c r="N33" s="9">
        <f t="shared" si="4"/>
        <v>0</v>
      </c>
      <c r="O33" s="9">
        <f t="shared" si="1"/>
        <v>0</v>
      </c>
      <c r="P33" s="9">
        <f t="shared" si="2"/>
        <v>0</v>
      </c>
      <c r="Q33" s="9">
        <f t="shared" si="3"/>
        <v>0</v>
      </c>
      <c r="R33" s="9">
        <f t="shared" si="0"/>
        <v>0</v>
      </c>
    </row>
    <row r="34" spans="1:18" ht="51" x14ac:dyDescent="0.2">
      <c r="A34" s="425"/>
      <c r="B34" s="425"/>
      <c r="C34" s="425"/>
      <c r="D34" s="425"/>
      <c r="E34" s="433"/>
      <c r="F34" s="11" t="s">
        <v>72</v>
      </c>
      <c r="G34" s="6" t="s">
        <v>211</v>
      </c>
      <c r="H34" s="6">
        <v>1</v>
      </c>
      <c r="I34" s="425"/>
      <c r="J34" s="10"/>
      <c r="K34" s="10"/>
      <c r="L34" s="10"/>
      <c r="M34" s="10"/>
      <c r="N34" s="9">
        <f t="shared" si="4"/>
        <v>0</v>
      </c>
      <c r="O34" s="9">
        <f t="shared" si="1"/>
        <v>0</v>
      </c>
      <c r="P34" s="9">
        <f t="shared" si="2"/>
        <v>0</v>
      </c>
      <c r="Q34" s="9">
        <f t="shared" si="3"/>
        <v>0</v>
      </c>
      <c r="R34" s="9">
        <f t="shared" si="0"/>
        <v>0</v>
      </c>
    </row>
    <row r="35" spans="1:18" ht="51" x14ac:dyDescent="0.2">
      <c r="A35" s="425"/>
      <c r="B35" s="425"/>
      <c r="C35" s="425"/>
      <c r="D35" s="425"/>
      <c r="E35" s="433"/>
      <c r="F35" s="11" t="s">
        <v>73</v>
      </c>
      <c r="G35" s="6" t="s">
        <v>211</v>
      </c>
      <c r="H35" s="6">
        <v>1</v>
      </c>
      <c r="I35" s="425"/>
      <c r="J35" s="10"/>
      <c r="K35" s="10"/>
      <c r="L35" s="10"/>
      <c r="M35" s="10"/>
      <c r="N35" s="9">
        <f t="shared" si="4"/>
        <v>0</v>
      </c>
      <c r="O35" s="9">
        <f t="shared" si="1"/>
        <v>0</v>
      </c>
      <c r="P35" s="9">
        <f t="shared" si="2"/>
        <v>0</v>
      </c>
      <c r="Q35" s="9">
        <f t="shared" si="3"/>
        <v>0</v>
      </c>
      <c r="R35" s="9">
        <f t="shared" si="0"/>
        <v>0</v>
      </c>
    </row>
    <row r="36" spans="1:18" ht="51" x14ac:dyDescent="0.2">
      <c r="A36" s="425"/>
      <c r="B36" s="425"/>
      <c r="C36" s="425"/>
      <c r="D36" s="425"/>
      <c r="E36" s="433"/>
      <c r="F36" s="11" t="s">
        <v>74</v>
      </c>
      <c r="G36" s="6" t="s">
        <v>211</v>
      </c>
      <c r="H36" s="6">
        <v>1</v>
      </c>
      <c r="I36" s="425"/>
      <c r="J36" s="10"/>
      <c r="K36" s="10"/>
      <c r="L36" s="10"/>
      <c r="M36" s="10"/>
      <c r="N36" s="9">
        <f t="shared" si="4"/>
        <v>0</v>
      </c>
      <c r="O36" s="9">
        <f t="shared" si="1"/>
        <v>0</v>
      </c>
      <c r="P36" s="9">
        <f t="shared" si="2"/>
        <v>0</v>
      </c>
      <c r="Q36" s="9">
        <f t="shared" si="3"/>
        <v>0</v>
      </c>
      <c r="R36" s="9">
        <f t="shared" si="0"/>
        <v>0</v>
      </c>
    </row>
    <row r="37" spans="1:18" ht="51" x14ac:dyDescent="0.2">
      <c r="A37" s="426"/>
      <c r="B37" s="426"/>
      <c r="C37" s="426"/>
      <c r="D37" s="426"/>
      <c r="E37" s="434"/>
      <c r="F37" s="11" t="s">
        <v>75</v>
      </c>
      <c r="G37" s="6" t="s">
        <v>211</v>
      </c>
      <c r="H37" s="6">
        <v>1</v>
      </c>
      <c r="I37" s="426"/>
      <c r="J37" s="10"/>
      <c r="K37" s="10"/>
      <c r="L37" s="10"/>
      <c r="M37" s="10"/>
      <c r="N37" s="9">
        <f t="shared" si="4"/>
        <v>0</v>
      </c>
      <c r="O37" s="9">
        <f t="shared" si="1"/>
        <v>0</v>
      </c>
      <c r="P37" s="9">
        <f t="shared" si="2"/>
        <v>0</v>
      </c>
      <c r="Q37" s="9">
        <f t="shared" si="3"/>
        <v>0</v>
      </c>
      <c r="R37" s="9">
        <f t="shared" si="0"/>
        <v>0</v>
      </c>
    </row>
    <row r="38" spans="1:18" ht="66.75" customHeight="1" x14ac:dyDescent="0.2">
      <c r="A38" s="429" t="s">
        <v>76</v>
      </c>
      <c r="B38" s="429" t="s">
        <v>77</v>
      </c>
      <c r="C38" s="12" t="s">
        <v>78</v>
      </c>
      <c r="D38" s="11" t="s">
        <v>79</v>
      </c>
      <c r="E38" s="6">
        <v>0.85</v>
      </c>
      <c r="F38" s="11" t="s">
        <v>80</v>
      </c>
      <c r="G38" s="41" t="s">
        <v>39</v>
      </c>
      <c r="H38" s="6">
        <v>1</v>
      </c>
      <c r="I38" s="11" t="s">
        <v>81</v>
      </c>
      <c r="J38" s="7"/>
      <c r="K38" s="7"/>
      <c r="L38" s="13"/>
      <c r="M38" s="10"/>
      <c r="N38" s="9">
        <f t="shared" ref="N38:N45" si="5">IFERROR((J38*100%)/H38,"-")</f>
        <v>0</v>
      </c>
      <c r="O38" s="9">
        <f t="shared" si="1"/>
        <v>0</v>
      </c>
      <c r="P38" s="9">
        <f t="shared" si="2"/>
        <v>0</v>
      </c>
      <c r="Q38" s="9">
        <f t="shared" si="3"/>
        <v>0</v>
      </c>
      <c r="R38" s="9">
        <f t="shared" si="0"/>
        <v>0</v>
      </c>
    </row>
    <row r="39" spans="1:18" ht="53.25" customHeight="1" x14ac:dyDescent="0.2">
      <c r="A39" s="430"/>
      <c r="B39" s="430"/>
      <c r="C39" s="12" t="s">
        <v>82</v>
      </c>
      <c r="D39" s="11" t="s">
        <v>83</v>
      </c>
      <c r="E39" s="6">
        <v>0.75</v>
      </c>
      <c r="F39" s="11" t="s">
        <v>84</v>
      </c>
      <c r="G39" s="41" t="s">
        <v>39</v>
      </c>
      <c r="H39" s="6">
        <v>0.75</v>
      </c>
      <c r="I39" s="11" t="s">
        <v>81</v>
      </c>
      <c r="J39" s="7"/>
      <c r="K39" s="7"/>
      <c r="L39" s="13"/>
      <c r="M39" s="10"/>
      <c r="N39" s="9">
        <f t="shared" si="5"/>
        <v>0</v>
      </c>
      <c r="O39" s="9">
        <f t="shared" si="1"/>
        <v>0</v>
      </c>
      <c r="P39" s="9">
        <f t="shared" si="2"/>
        <v>0</v>
      </c>
      <c r="Q39" s="9">
        <f t="shared" si="3"/>
        <v>0</v>
      </c>
      <c r="R39" s="9">
        <f t="shared" si="0"/>
        <v>0</v>
      </c>
    </row>
    <row r="40" spans="1:18" ht="75" customHeight="1" x14ac:dyDescent="0.2">
      <c r="A40" s="430"/>
      <c r="B40" s="430"/>
      <c r="C40" s="424" t="s">
        <v>85</v>
      </c>
      <c r="D40" s="424" t="s">
        <v>86</v>
      </c>
      <c r="E40" s="432">
        <v>0.4</v>
      </c>
      <c r="F40" s="14" t="s">
        <v>87</v>
      </c>
      <c r="G40" s="41" t="s">
        <v>88</v>
      </c>
      <c r="H40" s="6"/>
      <c r="I40" s="424" t="s">
        <v>89</v>
      </c>
      <c r="J40" s="7"/>
      <c r="K40" s="7"/>
      <c r="L40" s="7"/>
      <c r="M40" s="10"/>
      <c r="N40" s="39" t="str">
        <f t="shared" si="5"/>
        <v>-</v>
      </c>
      <c r="O40" s="39" t="str">
        <f t="shared" si="1"/>
        <v>-</v>
      </c>
      <c r="P40" s="39" t="str">
        <f t="shared" si="2"/>
        <v>-</v>
      </c>
      <c r="Q40" s="39" t="str">
        <f t="shared" si="3"/>
        <v>-</v>
      </c>
      <c r="R40" s="39" t="str">
        <f t="shared" si="0"/>
        <v>-</v>
      </c>
    </row>
    <row r="41" spans="1:18" ht="70.5" customHeight="1" x14ac:dyDescent="0.2">
      <c r="A41" s="430"/>
      <c r="B41" s="430"/>
      <c r="C41" s="425"/>
      <c r="D41" s="425"/>
      <c r="E41" s="433"/>
      <c r="F41" s="11" t="s">
        <v>90</v>
      </c>
      <c r="G41" s="11" t="s">
        <v>91</v>
      </c>
      <c r="H41" s="6"/>
      <c r="I41" s="425"/>
      <c r="J41" s="7"/>
      <c r="K41" s="7"/>
      <c r="L41" s="7"/>
      <c r="M41" s="10"/>
      <c r="N41" s="39" t="str">
        <f t="shared" si="5"/>
        <v>-</v>
      </c>
      <c r="O41" s="39" t="str">
        <f t="shared" si="1"/>
        <v>-</v>
      </c>
      <c r="P41" s="39" t="str">
        <f t="shared" si="2"/>
        <v>-</v>
      </c>
      <c r="Q41" s="39" t="str">
        <f t="shared" si="3"/>
        <v>-</v>
      </c>
      <c r="R41" s="39" t="str">
        <f t="shared" si="0"/>
        <v>-</v>
      </c>
    </row>
    <row r="42" spans="1:18" ht="74.25" customHeight="1" x14ac:dyDescent="0.2">
      <c r="A42" s="430"/>
      <c r="B42" s="430"/>
      <c r="C42" s="426"/>
      <c r="D42" s="426"/>
      <c r="E42" s="434"/>
      <c r="F42" s="11" t="s">
        <v>92</v>
      </c>
      <c r="G42" s="11" t="s">
        <v>93</v>
      </c>
      <c r="H42" s="6"/>
      <c r="I42" s="426"/>
      <c r="J42" s="7"/>
      <c r="K42" s="7"/>
      <c r="L42" s="7"/>
      <c r="M42" s="10"/>
      <c r="N42" s="39" t="str">
        <f t="shared" si="5"/>
        <v>-</v>
      </c>
      <c r="O42" s="39" t="str">
        <f t="shared" si="1"/>
        <v>-</v>
      </c>
      <c r="P42" s="39" t="str">
        <f t="shared" si="2"/>
        <v>-</v>
      </c>
      <c r="Q42" s="39" t="str">
        <f t="shared" si="3"/>
        <v>-</v>
      </c>
      <c r="R42" s="39" t="str">
        <f t="shared" si="0"/>
        <v>-</v>
      </c>
    </row>
    <row r="43" spans="1:18" ht="39" customHeight="1" x14ac:dyDescent="0.2">
      <c r="A43" s="431"/>
      <c r="B43" s="431"/>
      <c r="C43" s="12" t="s">
        <v>94</v>
      </c>
      <c r="D43" s="11" t="s">
        <v>95</v>
      </c>
      <c r="E43" s="6" t="s">
        <v>96</v>
      </c>
      <c r="F43" s="15" t="s">
        <v>97</v>
      </c>
      <c r="G43" s="15" t="s">
        <v>98</v>
      </c>
      <c r="H43" s="16">
        <v>72.3</v>
      </c>
      <c r="I43" s="11" t="s">
        <v>99</v>
      </c>
      <c r="J43" s="7" t="s">
        <v>100</v>
      </c>
      <c r="K43" s="7" t="s">
        <v>100</v>
      </c>
      <c r="L43" s="7" t="s">
        <v>100</v>
      </c>
      <c r="M43" s="16"/>
      <c r="N43" s="39" t="str">
        <f t="shared" si="5"/>
        <v>-</v>
      </c>
      <c r="O43" s="39" t="str">
        <f t="shared" si="1"/>
        <v>-</v>
      </c>
      <c r="P43" s="39" t="str">
        <f t="shared" si="2"/>
        <v>-</v>
      </c>
      <c r="Q43" s="39" t="str">
        <f>IF(M43&gt;H43,1,"-")</f>
        <v>-</v>
      </c>
      <c r="R43" s="39" t="str">
        <f t="shared" si="0"/>
        <v>-</v>
      </c>
    </row>
    <row r="44" spans="1:18" ht="100.5" customHeight="1" x14ac:dyDescent="0.2">
      <c r="A44" s="429" t="s">
        <v>101</v>
      </c>
      <c r="B44" s="429" t="s">
        <v>102</v>
      </c>
      <c r="C44" s="429" t="s">
        <v>103</v>
      </c>
      <c r="D44" s="424" t="s">
        <v>104</v>
      </c>
      <c r="E44" s="432">
        <v>0.6</v>
      </c>
      <c r="F44" s="11" t="s">
        <v>105</v>
      </c>
      <c r="G44" s="41" t="s">
        <v>106</v>
      </c>
      <c r="H44" s="6">
        <v>0.8</v>
      </c>
      <c r="I44" s="424" t="s">
        <v>107</v>
      </c>
      <c r="J44" s="7"/>
      <c r="K44" s="7"/>
      <c r="L44" s="7"/>
      <c r="M44" s="7"/>
      <c r="N44" s="9">
        <f t="shared" si="5"/>
        <v>0</v>
      </c>
      <c r="O44" s="9">
        <f t="shared" si="1"/>
        <v>0</v>
      </c>
      <c r="P44" s="9">
        <f t="shared" si="2"/>
        <v>0</v>
      </c>
      <c r="Q44" s="9">
        <f>IFERROR((M44*100%)/H44,"-")</f>
        <v>0</v>
      </c>
      <c r="R44" s="9">
        <f t="shared" si="0"/>
        <v>0</v>
      </c>
    </row>
    <row r="45" spans="1:18" ht="112.5" customHeight="1" x14ac:dyDescent="0.2">
      <c r="A45" s="430"/>
      <c r="B45" s="430"/>
      <c r="C45" s="430"/>
      <c r="D45" s="425"/>
      <c r="E45" s="433"/>
      <c r="F45" s="11" t="s">
        <v>108</v>
      </c>
      <c r="G45" s="41" t="s">
        <v>109</v>
      </c>
      <c r="H45" s="6">
        <v>0.8</v>
      </c>
      <c r="I45" s="425"/>
      <c r="J45" s="7"/>
      <c r="K45" s="7"/>
      <c r="L45" s="7"/>
      <c r="M45" s="7"/>
      <c r="N45" s="9">
        <f t="shared" si="5"/>
        <v>0</v>
      </c>
      <c r="O45" s="9">
        <f t="shared" si="1"/>
        <v>0</v>
      </c>
      <c r="P45" s="9">
        <f t="shared" si="2"/>
        <v>0</v>
      </c>
      <c r="Q45" s="9">
        <f>IFERROR((M45*100%)/H45,"-")</f>
        <v>0</v>
      </c>
      <c r="R45" s="9">
        <f t="shared" si="0"/>
        <v>0</v>
      </c>
    </row>
    <row r="46" spans="1:18" ht="39" customHeight="1" x14ac:dyDescent="0.2">
      <c r="A46" s="430"/>
      <c r="B46" s="430"/>
      <c r="C46" s="431"/>
      <c r="D46" s="426"/>
      <c r="E46" s="434"/>
      <c r="F46" s="11" t="s">
        <v>110</v>
      </c>
      <c r="G46" s="41" t="s">
        <v>111</v>
      </c>
      <c r="H46" s="6" t="s">
        <v>112</v>
      </c>
      <c r="I46" s="426"/>
      <c r="J46" s="17"/>
      <c r="K46" s="17"/>
      <c r="L46" s="17"/>
      <c r="M46" s="18"/>
      <c r="N46" s="39" t="str">
        <f>IF((J46*100%)&gt;=1,1,"-")</f>
        <v>-</v>
      </c>
      <c r="O46" s="39" t="str">
        <f>IF((K46*100%)&gt;=1,1,"-")</f>
        <v>-</v>
      </c>
      <c r="P46" s="39" t="str">
        <f>IF((L46*100%)&gt;=1,1,"-")</f>
        <v>-</v>
      </c>
      <c r="Q46" s="39" t="str">
        <f>IF((M46*100%)&gt;=1,1,"-")</f>
        <v>-</v>
      </c>
      <c r="R46" s="39" t="str">
        <f t="shared" si="0"/>
        <v>-</v>
      </c>
    </row>
    <row r="47" spans="1:18" ht="66.75" customHeight="1" x14ac:dyDescent="0.2">
      <c r="A47" s="430"/>
      <c r="B47" s="430"/>
      <c r="C47" s="429" t="s">
        <v>113</v>
      </c>
      <c r="D47" s="424" t="s">
        <v>114</v>
      </c>
      <c r="E47" s="432">
        <v>0.3</v>
      </c>
      <c r="F47" s="11" t="s">
        <v>115</v>
      </c>
      <c r="G47" s="41" t="s">
        <v>116</v>
      </c>
      <c r="H47" s="6">
        <v>0.9</v>
      </c>
      <c r="I47" s="424" t="s">
        <v>117</v>
      </c>
      <c r="J47" s="7"/>
      <c r="K47" s="7"/>
      <c r="L47" s="7"/>
      <c r="M47" s="7"/>
      <c r="N47" s="9">
        <f>IFERROR((J47*100%)/H47,"-")</f>
        <v>0</v>
      </c>
      <c r="O47" s="9">
        <f>IFERROR((K47*100%)/H47,"-")</f>
        <v>0</v>
      </c>
      <c r="P47" s="9">
        <f>IFERROR((L47*100%)/H47,"-")</f>
        <v>0</v>
      </c>
      <c r="Q47" s="9">
        <f>IFERROR((M47*100%)/H47,"-")</f>
        <v>0</v>
      </c>
      <c r="R47" s="9">
        <f t="shared" si="0"/>
        <v>0</v>
      </c>
    </row>
    <row r="48" spans="1:18" ht="91.5" customHeight="1" x14ac:dyDescent="0.2">
      <c r="A48" s="430"/>
      <c r="B48" s="430"/>
      <c r="C48" s="430"/>
      <c r="D48" s="425"/>
      <c r="E48" s="433"/>
      <c r="F48" s="11" t="s">
        <v>118</v>
      </c>
      <c r="G48" s="41" t="s">
        <v>119</v>
      </c>
      <c r="H48" s="6">
        <v>0.9</v>
      </c>
      <c r="I48" s="425"/>
      <c r="J48" s="7"/>
      <c r="K48" s="7"/>
      <c r="L48" s="7"/>
      <c r="M48" s="7"/>
      <c r="N48" s="9">
        <f>IFERROR((J48*100%)/H48,"-")</f>
        <v>0</v>
      </c>
      <c r="O48" s="9">
        <f>IFERROR((K48*100%)/H48,"-")</f>
        <v>0</v>
      </c>
      <c r="P48" s="9">
        <f>IFERROR((L48*100%)/H48,"-")</f>
        <v>0</v>
      </c>
      <c r="Q48" s="9">
        <f>IFERROR((M48*100%)/H48,"-")</f>
        <v>0</v>
      </c>
      <c r="R48" s="9">
        <f t="shared" si="0"/>
        <v>0</v>
      </c>
    </row>
    <row r="49" spans="1:18" ht="39" customHeight="1" x14ac:dyDescent="0.2">
      <c r="A49" s="430"/>
      <c r="B49" s="430"/>
      <c r="C49" s="430"/>
      <c r="D49" s="425"/>
      <c r="E49" s="433"/>
      <c r="F49" s="19" t="s">
        <v>120</v>
      </c>
      <c r="G49" s="41" t="s">
        <v>121</v>
      </c>
      <c r="H49" s="6">
        <v>0.9</v>
      </c>
      <c r="I49" s="425"/>
      <c r="J49" s="7"/>
      <c r="K49" s="7"/>
      <c r="L49" s="7"/>
      <c r="M49" s="7"/>
      <c r="N49" s="9">
        <f>IFERROR((J49*100%)/H49,"-")</f>
        <v>0</v>
      </c>
      <c r="O49" s="9">
        <f>IFERROR((K49*100%)/H49,"-")</f>
        <v>0</v>
      </c>
      <c r="P49" s="9">
        <f>IFERROR((L49*100%)/H49,"-")</f>
        <v>0</v>
      </c>
      <c r="Q49" s="9">
        <f>IFERROR((M49*100%)/H49,"-")</f>
        <v>0</v>
      </c>
      <c r="R49" s="9">
        <f t="shared" si="0"/>
        <v>0</v>
      </c>
    </row>
    <row r="50" spans="1:18" ht="39" customHeight="1" x14ac:dyDescent="0.2">
      <c r="A50" s="430"/>
      <c r="B50" s="430"/>
      <c r="C50" s="430"/>
      <c r="D50" s="425"/>
      <c r="E50" s="433"/>
      <c r="F50" s="19" t="s">
        <v>122</v>
      </c>
      <c r="G50" s="41" t="s">
        <v>121</v>
      </c>
      <c r="H50" s="6">
        <v>0.9</v>
      </c>
      <c r="I50" s="425"/>
      <c r="J50" s="7"/>
      <c r="K50" s="7"/>
      <c r="L50" s="7"/>
      <c r="M50" s="7"/>
      <c r="N50" s="9">
        <f>IFERROR((J50*100%)/H50,"-")</f>
        <v>0</v>
      </c>
      <c r="O50" s="9">
        <f>IFERROR((K50*100%)/H50,"-")</f>
        <v>0</v>
      </c>
      <c r="P50" s="9">
        <f>IFERROR((L50*100%)/H50,"-")</f>
        <v>0</v>
      </c>
      <c r="Q50" s="9">
        <f>IFERROR((M50*100%)/H50,"-")</f>
        <v>0</v>
      </c>
      <c r="R50" s="9">
        <f t="shared" si="0"/>
        <v>0</v>
      </c>
    </row>
    <row r="51" spans="1:18" ht="39" customHeight="1" x14ac:dyDescent="0.2">
      <c r="A51" s="430"/>
      <c r="B51" s="430"/>
      <c r="C51" s="431"/>
      <c r="D51" s="426"/>
      <c r="E51" s="434"/>
      <c r="F51" s="19" t="s">
        <v>123</v>
      </c>
      <c r="G51" s="41" t="s">
        <v>121</v>
      </c>
      <c r="H51" s="6">
        <v>0.9</v>
      </c>
      <c r="I51" s="426"/>
      <c r="J51" s="7"/>
      <c r="K51" s="7"/>
      <c r="L51" s="7"/>
      <c r="M51" s="7"/>
      <c r="N51" s="9">
        <f>IFERROR((J51*100%)/H51,"-")</f>
        <v>0</v>
      </c>
      <c r="O51" s="9">
        <f>IFERROR((K51*100%)/H51,"-")</f>
        <v>0</v>
      </c>
      <c r="P51" s="9">
        <f>IFERROR((L51*100%)/H51,"-")</f>
        <v>0</v>
      </c>
      <c r="Q51" s="9">
        <f>IFERROR((M51*100%)/H51,"-")</f>
        <v>0</v>
      </c>
      <c r="R51" s="9">
        <f t="shared" si="0"/>
        <v>0</v>
      </c>
    </row>
    <row r="52" spans="1:18" ht="72" customHeight="1" x14ac:dyDescent="0.2">
      <c r="A52" s="430"/>
      <c r="B52" s="430"/>
      <c r="C52" s="435" t="s">
        <v>124</v>
      </c>
      <c r="D52" s="424" t="s">
        <v>125</v>
      </c>
      <c r="E52" s="432">
        <v>0.6</v>
      </c>
      <c r="F52" s="19" t="s">
        <v>126</v>
      </c>
      <c r="G52" s="40" t="s">
        <v>127</v>
      </c>
      <c r="H52" s="6" t="s">
        <v>128</v>
      </c>
      <c r="I52" s="424" t="s">
        <v>129</v>
      </c>
      <c r="J52" s="7"/>
      <c r="K52" s="7"/>
      <c r="L52" s="7"/>
      <c r="M52" s="7"/>
      <c r="N52" s="39" t="str">
        <f>IF((J52*100%)=50%,1,"-")</f>
        <v>-</v>
      </c>
      <c r="O52" s="39" t="str">
        <f>IF((K52*100%)=50%,1,"-")</f>
        <v>-</v>
      </c>
      <c r="P52" s="39" t="str">
        <f>IF((L52*100%)=50%,1,"-")</f>
        <v>-</v>
      </c>
      <c r="Q52" s="39" t="str">
        <f>IF((M52*100%)=50%,1,"-")</f>
        <v>-</v>
      </c>
      <c r="R52" s="39" t="str">
        <f>IFERROR(AVERAGE(N52:Q52),"-")</f>
        <v>-</v>
      </c>
    </row>
    <row r="53" spans="1:18" ht="87" customHeight="1" x14ac:dyDescent="0.2">
      <c r="A53" s="430"/>
      <c r="B53" s="430"/>
      <c r="C53" s="436"/>
      <c r="D53" s="425"/>
      <c r="E53" s="433"/>
      <c r="F53" s="19" t="s">
        <v>130</v>
      </c>
      <c r="G53" s="40" t="s">
        <v>131</v>
      </c>
      <c r="H53" s="6" t="s">
        <v>132</v>
      </c>
      <c r="I53" s="425"/>
      <c r="J53" s="7"/>
      <c r="K53" s="7"/>
      <c r="L53" s="7"/>
      <c r="M53" s="7"/>
      <c r="N53" s="39" t="str">
        <f>IF((J53*100%)&gt;=80%,1,"-")</f>
        <v>-</v>
      </c>
      <c r="O53" s="39" t="str">
        <f t="shared" ref="O53:Q54" si="6">IF((K53*100%)&gt;=80%,1,"-")</f>
        <v>-</v>
      </c>
      <c r="P53" s="39" t="str">
        <f t="shared" si="6"/>
        <v>-</v>
      </c>
      <c r="Q53" s="39" t="str">
        <f t="shared" si="6"/>
        <v>-</v>
      </c>
      <c r="R53" s="39" t="str">
        <f t="shared" si="0"/>
        <v>-</v>
      </c>
    </row>
    <row r="54" spans="1:18" ht="86.25" customHeight="1" x14ac:dyDescent="0.2">
      <c r="A54" s="431"/>
      <c r="B54" s="431"/>
      <c r="C54" s="437"/>
      <c r="D54" s="426"/>
      <c r="E54" s="434"/>
      <c r="F54" s="19" t="s">
        <v>133</v>
      </c>
      <c r="G54" s="40" t="s">
        <v>134</v>
      </c>
      <c r="H54" s="6" t="s">
        <v>132</v>
      </c>
      <c r="I54" s="426"/>
      <c r="J54" s="7"/>
      <c r="K54" s="7"/>
      <c r="L54" s="7"/>
      <c r="M54" s="7"/>
      <c r="N54" s="39" t="str">
        <f>IF((J54*100%)&gt;=80%,1,"-")</f>
        <v>-</v>
      </c>
      <c r="O54" s="39" t="str">
        <f t="shared" si="6"/>
        <v>-</v>
      </c>
      <c r="P54" s="39" t="str">
        <f t="shared" si="6"/>
        <v>-</v>
      </c>
      <c r="Q54" s="39" t="str">
        <f t="shared" si="6"/>
        <v>-</v>
      </c>
      <c r="R54" s="39" t="str">
        <f t="shared" si="0"/>
        <v>-</v>
      </c>
    </row>
    <row r="55" spans="1:18" ht="78.75" customHeight="1" x14ac:dyDescent="0.2">
      <c r="A55" s="429" t="s">
        <v>135</v>
      </c>
      <c r="B55" s="435" t="s">
        <v>136</v>
      </c>
      <c r="C55" s="435" t="s">
        <v>137</v>
      </c>
      <c r="D55" s="424" t="s">
        <v>138</v>
      </c>
      <c r="E55" s="432">
        <v>0.4</v>
      </c>
      <c r="F55" s="19" t="s">
        <v>139</v>
      </c>
      <c r="G55" s="40" t="s">
        <v>140</v>
      </c>
      <c r="H55" s="6" t="s">
        <v>141</v>
      </c>
      <c r="I55" s="432" t="s">
        <v>142</v>
      </c>
      <c r="J55" s="7"/>
      <c r="K55" s="7"/>
      <c r="L55" s="7"/>
      <c r="M55" s="7"/>
      <c r="N55" s="39" t="str">
        <f>IF((J55*100%)&gt;=90%,1,"-")</f>
        <v>-</v>
      </c>
      <c r="O55" s="39" t="str">
        <f>IF((K55*100%)&gt;=90%,1,"-")</f>
        <v>-</v>
      </c>
      <c r="P55" s="39" t="str">
        <f>IF((L55*100%)&gt;=90%,1,"-")</f>
        <v>-</v>
      </c>
      <c r="Q55" s="39" t="str">
        <f>IF((M55*100%)&gt;=90%,1,"-")</f>
        <v>-</v>
      </c>
      <c r="R55" s="39" t="str">
        <f t="shared" si="0"/>
        <v>-</v>
      </c>
    </row>
    <row r="56" spans="1:18" ht="72" customHeight="1" x14ac:dyDescent="0.2">
      <c r="A56" s="431"/>
      <c r="B56" s="437"/>
      <c r="C56" s="437"/>
      <c r="D56" s="426"/>
      <c r="E56" s="434"/>
      <c r="F56" s="19" t="s">
        <v>143</v>
      </c>
      <c r="G56" s="40" t="s">
        <v>144</v>
      </c>
      <c r="H56" s="6">
        <v>0.3</v>
      </c>
      <c r="I56" s="434"/>
      <c r="J56" s="7"/>
      <c r="K56" s="7"/>
      <c r="L56" s="7"/>
      <c r="M56" s="7"/>
      <c r="N56" s="9">
        <f t="shared" ref="N56:N68" si="7">IFERROR((J56*100%)/H56,"-")</f>
        <v>0</v>
      </c>
      <c r="O56" s="9">
        <f t="shared" ref="O56:O61" si="8">IFERROR((K56*100%)/H56,"-")</f>
        <v>0</v>
      </c>
      <c r="P56" s="9">
        <f t="shared" ref="P56:P61" si="9">IFERROR((L56*100%)/H56,"-")</f>
        <v>0</v>
      </c>
      <c r="Q56" s="9">
        <f>IFERROR((M56*100%)/H56,"-")</f>
        <v>0</v>
      </c>
      <c r="R56" s="9">
        <f t="shared" si="0"/>
        <v>0</v>
      </c>
    </row>
    <row r="57" spans="1:18" ht="58.5" customHeight="1" x14ac:dyDescent="0.2">
      <c r="A57" s="429" t="s">
        <v>145</v>
      </c>
      <c r="B57" s="435" t="s">
        <v>146</v>
      </c>
      <c r="C57" s="20" t="s">
        <v>147</v>
      </c>
      <c r="D57" s="11" t="s">
        <v>148</v>
      </c>
      <c r="E57" s="6" t="s">
        <v>149</v>
      </c>
      <c r="F57" s="19" t="s">
        <v>150</v>
      </c>
      <c r="G57" s="42" t="s">
        <v>150</v>
      </c>
      <c r="H57" s="21">
        <v>1</v>
      </c>
      <c r="I57" s="6" t="s">
        <v>151</v>
      </c>
      <c r="J57" s="7" t="s">
        <v>100</v>
      </c>
      <c r="K57" s="7" t="s">
        <v>100</v>
      </c>
      <c r="L57" s="7" t="s">
        <v>100</v>
      </c>
      <c r="M57" s="22"/>
      <c r="N57" s="39" t="str">
        <f>IFERROR((J57*100%)/H57,"-")</f>
        <v>-</v>
      </c>
      <c r="O57" s="39" t="str">
        <f t="shared" si="8"/>
        <v>-</v>
      </c>
      <c r="P57" s="39" t="str">
        <f t="shared" si="9"/>
        <v>-</v>
      </c>
      <c r="Q57" s="39" t="str">
        <f>IF(M57=1,1,"-")</f>
        <v>-</v>
      </c>
      <c r="R57" s="39" t="str">
        <f t="shared" si="0"/>
        <v>-</v>
      </c>
    </row>
    <row r="58" spans="1:18" ht="39" customHeight="1" x14ac:dyDescent="0.2">
      <c r="A58" s="430"/>
      <c r="B58" s="436"/>
      <c r="C58" s="20" t="s">
        <v>152</v>
      </c>
      <c r="D58" s="11" t="s">
        <v>153</v>
      </c>
      <c r="E58" s="6" t="s">
        <v>154</v>
      </c>
      <c r="F58" s="19" t="s">
        <v>155</v>
      </c>
      <c r="G58" s="42" t="s">
        <v>155</v>
      </c>
      <c r="H58" s="21">
        <v>1</v>
      </c>
      <c r="I58" s="6" t="s">
        <v>156</v>
      </c>
      <c r="J58" s="7" t="s">
        <v>100</v>
      </c>
      <c r="K58" s="7" t="s">
        <v>100</v>
      </c>
      <c r="L58" s="7" t="s">
        <v>100</v>
      </c>
      <c r="M58" s="22"/>
      <c r="N58" s="39" t="str">
        <f t="shared" si="7"/>
        <v>-</v>
      </c>
      <c r="O58" s="39" t="str">
        <f t="shared" si="8"/>
        <v>-</v>
      </c>
      <c r="P58" s="39" t="str">
        <f t="shared" si="9"/>
        <v>-</v>
      </c>
      <c r="Q58" s="39" t="str">
        <f>IF(M58=1,1,"-")</f>
        <v>-</v>
      </c>
      <c r="R58" s="39" t="str">
        <f t="shared" si="0"/>
        <v>-</v>
      </c>
    </row>
    <row r="59" spans="1:18" ht="39" customHeight="1" x14ac:dyDescent="0.2">
      <c r="A59" s="430"/>
      <c r="B59" s="436"/>
      <c r="C59" s="20" t="s">
        <v>157</v>
      </c>
      <c r="D59" s="11" t="s">
        <v>158</v>
      </c>
      <c r="E59" s="6" t="s">
        <v>100</v>
      </c>
      <c r="F59" s="19" t="s">
        <v>159</v>
      </c>
      <c r="G59" s="42" t="s">
        <v>159</v>
      </c>
      <c r="H59" s="21">
        <v>1</v>
      </c>
      <c r="I59" s="6" t="s">
        <v>160</v>
      </c>
      <c r="J59" s="7" t="s">
        <v>100</v>
      </c>
      <c r="K59" s="7" t="s">
        <v>100</v>
      </c>
      <c r="L59" s="7" t="s">
        <v>100</v>
      </c>
      <c r="M59" s="22"/>
      <c r="N59" s="39" t="str">
        <f t="shared" si="7"/>
        <v>-</v>
      </c>
      <c r="O59" s="39" t="str">
        <f t="shared" si="8"/>
        <v>-</v>
      </c>
      <c r="P59" s="39" t="str">
        <f t="shared" si="9"/>
        <v>-</v>
      </c>
      <c r="Q59" s="39" t="str">
        <f>IF(M59=1,1,"-")</f>
        <v>-</v>
      </c>
      <c r="R59" s="39" t="str">
        <f t="shared" si="0"/>
        <v>-</v>
      </c>
    </row>
    <row r="60" spans="1:18" ht="39" customHeight="1" x14ac:dyDescent="0.2">
      <c r="A60" s="430"/>
      <c r="B60" s="436"/>
      <c r="C60" s="435" t="s">
        <v>161</v>
      </c>
      <c r="D60" s="11" t="s">
        <v>162</v>
      </c>
      <c r="E60" s="6" t="s">
        <v>154</v>
      </c>
      <c r="F60" s="19" t="s">
        <v>163</v>
      </c>
      <c r="G60" s="42" t="s">
        <v>163</v>
      </c>
      <c r="H60" s="21">
        <v>1</v>
      </c>
      <c r="I60" s="432" t="s">
        <v>164</v>
      </c>
      <c r="J60" s="7" t="s">
        <v>100</v>
      </c>
      <c r="K60" s="7" t="s">
        <v>100</v>
      </c>
      <c r="L60" s="7" t="s">
        <v>100</v>
      </c>
      <c r="M60" s="22"/>
      <c r="N60" s="39" t="str">
        <f t="shared" si="7"/>
        <v>-</v>
      </c>
      <c r="O60" s="39" t="str">
        <f t="shared" si="8"/>
        <v>-</v>
      </c>
      <c r="P60" s="39" t="str">
        <f t="shared" si="9"/>
        <v>-</v>
      </c>
      <c r="Q60" s="39" t="str">
        <f>IF(M60=1,1,"-")</f>
        <v>-</v>
      </c>
      <c r="R60" s="39" t="str">
        <f t="shared" si="0"/>
        <v>-</v>
      </c>
    </row>
    <row r="61" spans="1:18" ht="39" customHeight="1" x14ac:dyDescent="0.2">
      <c r="A61" s="431"/>
      <c r="B61" s="437"/>
      <c r="C61" s="437"/>
      <c r="D61" s="11" t="s">
        <v>165</v>
      </c>
      <c r="E61" s="6" t="s">
        <v>149</v>
      </c>
      <c r="F61" s="19" t="s">
        <v>166</v>
      </c>
      <c r="G61" s="42" t="s">
        <v>166</v>
      </c>
      <c r="H61" s="21">
        <v>1</v>
      </c>
      <c r="I61" s="434"/>
      <c r="J61" s="7" t="s">
        <v>100</v>
      </c>
      <c r="K61" s="7" t="s">
        <v>100</v>
      </c>
      <c r="L61" s="7" t="s">
        <v>100</v>
      </c>
      <c r="M61" s="22"/>
      <c r="N61" s="39" t="str">
        <f t="shared" si="7"/>
        <v>-</v>
      </c>
      <c r="O61" s="39" t="str">
        <f t="shared" si="8"/>
        <v>-</v>
      </c>
      <c r="P61" s="39" t="str">
        <f t="shared" si="9"/>
        <v>-</v>
      </c>
      <c r="Q61" s="39" t="str">
        <f>IF(M61=1,1,"-")</f>
        <v>-</v>
      </c>
      <c r="R61" s="39" t="str">
        <f t="shared" si="0"/>
        <v>-</v>
      </c>
    </row>
    <row r="62" spans="1:18" ht="84" customHeight="1" x14ac:dyDescent="0.2">
      <c r="A62" s="429" t="s">
        <v>167</v>
      </c>
      <c r="B62" s="435" t="s">
        <v>168</v>
      </c>
      <c r="C62" s="435" t="s">
        <v>169</v>
      </c>
      <c r="D62" s="424" t="s">
        <v>170</v>
      </c>
      <c r="E62" s="432">
        <v>0.5</v>
      </c>
      <c r="F62" s="19" t="s">
        <v>171</v>
      </c>
      <c r="G62" s="40" t="s">
        <v>172</v>
      </c>
      <c r="H62" s="6" t="s">
        <v>173</v>
      </c>
      <c r="I62" s="432" t="s">
        <v>174</v>
      </c>
      <c r="J62" s="7" t="s">
        <v>100</v>
      </c>
      <c r="K62" s="7" t="s">
        <v>100</v>
      </c>
      <c r="L62" s="7" t="s">
        <v>100</v>
      </c>
      <c r="M62" s="10"/>
      <c r="N62" s="39" t="e">
        <f>IF((J62*100%)&gt;=1%,1,"-")</f>
        <v>#VALUE!</v>
      </c>
      <c r="O62" s="39" t="e">
        <f>IF((K62*100%)&gt;=1%,1,"-")</f>
        <v>#VALUE!</v>
      </c>
      <c r="P62" s="39" t="e">
        <f>IF((L62*100%)&gt;=1%,1,"-")</f>
        <v>#VALUE!</v>
      </c>
      <c r="Q62" s="39" t="str">
        <f>IF((M62*100%)&gt;=1%,1,"-")</f>
        <v>-</v>
      </c>
      <c r="R62" s="39" t="str">
        <f t="shared" si="0"/>
        <v>-</v>
      </c>
    </row>
    <row r="63" spans="1:18" ht="39" customHeight="1" x14ac:dyDescent="0.2">
      <c r="A63" s="430"/>
      <c r="B63" s="436"/>
      <c r="C63" s="436"/>
      <c r="D63" s="425"/>
      <c r="E63" s="433"/>
      <c r="F63" s="19" t="s">
        <v>175</v>
      </c>
      <c r="G63" s="40" t="s">
        <v>176</v>
      </c>
      <c r="H63" s="6">
        <v>0.6</v>
      </c>
      <c r="I63" s="433"/>
      <c r="J63" s="7"/>
      <c r="K63" s="7"/>
      <c r="L63" s="7"/>
      <c r="M63" s="7"/>
      <c r="N63" s="9">
        <f t="shared" si="7"/>
        <v>0</v>
      </c>
      <c r="O63" s="9">
        <f t="shared" ref="O63:O68" si="10">IFERROR((K63*100%)/H63,"-")</f>
        <v>0</v>
      </c>
      <c r="P63" s="9">
        <f t="shared" ref="P63:P68" si="11">IFERROR((L63*100%)/H63,"-")</f>
        <v>0</v>
      </c>
      <c r="Q63" s="9">
        <f>IFERROR((M63*100%)/H63,"-")</f>
        <v>0</v>
      </c>
      <c r="R63" s="9">
        <f t="shared" si="0"/>
        <v>0</v>
      </c>
    </row>
    <row r="64" spans="1:18" ht="72" customHeight="1" x14ac:dyDescent="0.2">
      <c r="A64" s="430"/>
      <c r="B64" s="436"/>
      <c r="C64" s="436"/>
      <c r="D64" s="425"/>
      <c r="E64" s="433"/>
      <c r="F64" s="19" t="s">
        <v>177</v>
      </c>
      <c r="G64" s="40" t="s">
        <v>178</v>
      </c>
      <c r="H64" s="6">
        <v>0.15</v>
      </c>
      <c r="I64" s="433"/>
      <c r="J64" s="7"/>
      <c r="K64" s="7"/>
      <c r="L64" s="7"/>
      <c r="M64" s="7"/>
      <c r="N64" s="9">
        <f t="shared" si="7"/>
        <v>0</v>
      </c>
      <c r="O64" s="9">
        <f t="shared" si="10"/>
        <v>0</v>
      </c>
      <c r="P64" s="9">
        <f t="shared" si="11"/>
        <v>0</v>
      </c>
      <c r="Q64" s="9">
        <f>IFERROR((M64*100%)/H64,"-")</f>
        <v>0</v>
      </c>
      <c r="R64" s="9">
        <f t="shared" si="0"/>
        <v>0</v>
      </c>
    </row>
    <row r="65" spans="1:18" ht="64.5" customHeight="1" x14ac:dyDescent="0.2">
      <c r="A65" s="430"/>
      <c r="B65" s="436"/>
      <c r="C65" s="437"/>
      <c r="D65" s="426"/>
      <c r="E65" s="434"/>
      <c r="F65" s="19" t="s">
        <v>179</v>
      </c>
      <c r="G65" s="40" t="s">
        <v>180</v>
      </c>
      <c r="H65" s="6">
        <v>0.15</v>
      </c>
      <c r="I65" s="433"/>
      <c r="J65" s="7"/>
      <c r="K65" s="7"/>
      <c r="L65" s="7"/>
      <c r="M65" s="7"/>
      <c r="N65" s="9">
        <f t="shared" si="7"/>
        <v>0</v>
      </c>
      <c r="O65" s="9">
        <f t="shared" si="10"/>
        <v>0</v>
      </c>
      <c r="P65" s="9">
        <f t="shared" si="11"/>
        <v>0</v>
      </c>
      <c r="Q65" s="9">
        <f>IFERROR((M65*100%)/H65,"-")</f>
        <v>0</v>
      </c>
      <c r="R65" s="9">
        <f t="shared" si="0"/>
        <v>0</v>
      </c>
    </row>
    <row r="66" spans="1:18" ht="39" customHeight="1" x14ac:dyDescent="0.2">
      <c r="A66" s="430"/>
      <c r="B66" s="436"/>
      <c r="C66" s="23" t="s">
        <v>181</v>
      </c>
      <c r="D66" s="11" t="s">
        <v>182</v>
      </c>
      <c r="E66" s="6">
        <v>0.3</v>
      </c>
      <c r="F66" s="19" t="s">
        <v>171</v>
      </c>
      <c r="G66" s="40" t="s">
        <v>172</v>
      </c>
      <c r="H66" s="6">
        <v>0.3</v>
      </c>
      <c r="I66" s="433"/>
      <c r="J66" s="7"/>
      <c r="K66" s="7"/>
      <c r="L66" s="7"/>
      <c r="M66" s="7"/>
      <c r="N66" s="9">
        <f t="shared" si="7"/>
        <v>0</v>
      </c>
      <c r="O66" s="9">
        <f t="shared" si="10"/>
        <v>0</v>
      </c>
      <c r="P66" s="9">
        <f t="shared" si="11"/>
        <v>0</v>
      </c>
      <c r="Q66" s="9">
        <f>IFERROR((M66*100%)/H66,"-")</f>
        <v>0</v>
      </c>
      <c r="R66" s="9">
        <f t="shared" si="0"/>
        <v>0</v>
      </c>
    </row>
    <row r="67" spans="1:18" ht="39" customHeight="1" x14ac:dyDescent="0.2">
      <c r="A67" s="430"/>
      <c r="B67" s="436"/>
      <c r="C67" s="23" t="s">
        <v>183</v>
      </c>
      <c r="D67" s="11" t="s">
        <v>184</v>
      </c>
      <c r="E67" s="22">
        <v>1</v>
      </c>
      <c r="F67" s="19" t="s">
        <v>185</v>
      </c>
      <c r="G67" s="41" t="s">
        <v>186</v>
      </c>
      <c r="H67" s="21">
        <v>1</v>
      </c>
      <c r="I67" s="433"/>
      <c r="J67" s="7" t="s">
        <v>100</v>
      </c>
      <c r="K67" s="7" t="s">
        <v>100</v>
      </c>
      <c r="L67" s="7" t="s">
        <v>100</v>
      </c>
      <c r="M67" s="22"/>
      <c r="N67" s="39" t="str">
        <f>IFERROR((J67*100%)/H67,"-")</f>
        <v>-</v>
      </c>
      <c r="O67" s="39" t="str">
        <f t="shared" si="10"/>
        <v>-</v>
      </c>
      <c r="P67" s="39" t="str">
        <f t="shared" si="11"/>
        <v>-</v>
      </c>
      <c r="Q67" s="39" t="str">
        <f>IF(M67=1,1,"-")</f>
        <v>-</v>
      </c>
      <c r="R67" s="39" t="str">
        <f t="shared" si="0"/>
        <v>-</v>
      </c>
    </row>
    <row r="68" spans="1:18" ht="84.75" customHeight="1" x14ac:dyDescent="0.2">
      <c r="A68" s="431"/>
      <c r="B68" s="437"/>
      <c r="C68" s="23" t="s">
        <v>187</v>
      </c>
      <c r="D68" s="11" t="s">
        <v>188</v>
      </c>
      <c r="E68" s="22">
        <v>1</v>
      </c>
      <c r="F68" s="19" t="s">
        <v>189</v>
      </c>
      <c r="G68" s="41" t="s">
        <v>190</v>
      </c>
      <c r="H68" s="21">
        <v>1</v>
      </c>
      <c r="I68" s="434"/>
      <c r="J68" s="7" t="s">
        <v>100</v>
      </c>
      <c r="K68" s="7" t="s">
        <v>100</v>
      </c>
      <c r="L68" s="7" t="s">
        <v>100</v>
      </c>
      <c r="M68" s="22"/>
      <c r="N68" s="39" t="str">
        <f t="shared" si="7"/>
        <v>-</v>
      </c>
      <c r="O68" s="39" t="str">
        <f t="shared" si="10"/>
        <v>-</v>
      </c>
      <c r="P68" s="39" t="str">
        <f t="shared" si="11"/>
        <v>-</v>
      </c>
      <c r="Q68" s="39" t="str">
        <f>IF(M68=1,1,"-")</f>
        <v>-</v>
      </c>
      <c r="R68" s="39" t="str">
        <f t="shared" si="0"/>
        <v>-</v>
      </c>
    </row>
    <row r="69" spans="1:18" ht="45.6" customHeight="1" x14ac:dyDescent="0.2">
      <c r="A69" s="438"/>
      <c r="B69" s="439"/>
      <c r="C69" s="439"/>
      <c r="D69" s="439"/>
      <c r="E69" s="439"/>
      <c r="F69" s="439"/>
      <c r="G69" s="439"/>
      <c r="H69" s="439"/>
      <c r="I69" s="439"/>
      <c r="J69" s="439"/>
      <c r="K69" s="439"/>
      <c r="L69" s="439"/>
      <c r="M69" s="440"/>
      <c r="N69" s="24"/>
      <c r="O69" s="24"/>
      <c r="P69" s="24"/>
      <c r="Q69" s="24"/>
      <c r="R69" s="25">
        <f>AVERAGE(R7:R68)</f>
        <v>2.1249999999999998E-2</v>
      </c>
    </row>
  </sheetData>
  <mergeCells count="73">
    <mergeCell ref="A69:M69"/>
    <mergeCell ref="A62:A68"/>
    <mergeCell ref="B62:B68"/>
    <mergeCell ref="C62:C65"/>
    <mergeCell ref="D62:D65"/>
    <mergeCell ref="E62:E65"/>
    <mergeCell ref="I62:I68"/>
    <mergeCell ref="C47:C51"/>
    <mergeCell ref="D47:D51"/>
    <mergeCell ref="E47:E51"/>
    <mergeCell ref="I47:I51"/>
    <mergeCell ref="A57:A61"/>
    <mergeCell ref="B57:B61"/>
    <mergeCell ref="C60:C61"/>
    <mergeCell ref="I60:I61"/>
    <mergeCell ref="A55:A56"/>
    <mergeCell ref="B55:B56"/>
    <mergeCell ref="C55:C56"/>
    <mergeCell ref="D55:D56"/>
    <mergeCell ref="E55:E56"/>
    <mergeCell ref="I55:I56"/>
    <mergeCell ref="I44:I46"/>
    <mergeCell ref="A38:A43"/>
    <mergeCell ref="B38:B43"/>
    <mergeCell ref="C40:C42"/>
    <mergeCell ref="D40:D42"/>
    <mergeCell ref="E40:E42"/>
    <mergeCell ref="I40:I42"/>
    <mergeCell ref="A44:A54"/>
    <mergeCell ref="B44:B54"/>
    <mergeCell ref="C44:C46"/>
    <mergeCell ref="D44:D46"/>
    <mergeCell ref="E44:E46"/>
    <mergeCell ref="C52:C54"/>
    <mergeCell ref="D52:D54"/>
    <mergeCell ref="E52:E54"/>
    <mergeCell ref="I52:I54"/>
    <mergeCell ref="I21:I37"/>
    <mergeCell ref="I11:I18"/>
    <mergeCell ref="A19:A20"/>
    <mergeCell ref="B19:B20"/>
    <mergeCell ref="C19:C20"/>
    <mergeCell ref="A11:A18"/>
    <mergeCell ref="B11:B18"/>
    <mergeCell ref="C11:C18"/>
    <mergeCell ref="D11:D18"/>
    <mergeCell ref="E11:E18"/>
    <mergeCell ref="A21:A37"/>
    <mergeCell ref="B21:B37"/>
    <mergeCell ref="C21:C37"/>
    <mergeCell ref="D21:D37"/>
    <mergeCell ref="E21:E37"/>
    <mergeCell ref="A7:A10"/>
    <mergeCell ref="B7:B10"/>
    <mergeCell ref="C7:C10"/>
    <mergeCell ref="D7:D10"/>
    <mergeCell ref="E7:E10"/>
    <mergeCell ref="I7:I10"/>
    <mergeCell ref="G5:G6"/>
    <mergeCell ref="H5:H6"/>
    <mergeCell ref="I5:I6"/>
    <mergeCell ref="J5:M5"/>
    <mergeCell ref="B1:R1"/>
    <mergeCell ref="A2:A3"/>
    <mergeCell ref="B2:R3"/>
    <mergeCell ref="A4:C4"/>
    <mergeCell ref="N5:R5"/>
    <mergeCell ref="A5:A6"/>
    <mergeCell ref="B5:B6"/>
    <mergeCell ref="C5:C6"/>
    <mergeCell ref="D5:D6"/>
    <mergeCell ref="E5:E6"/>
    <mergeCell ref="F5:F6"/>
  </mergeCells>
  <conditionalFormatting sqref="N7:R69">
    <cfRule type="cellIs" dxfId="113" priority="1" operator="lessThan">
      <formula>0.6</formula>
    </cfRule>
    <cfRule type="cellIs" dxfId="112" priority="2" operator="between">
      <formula>60%</formula>
      <formula>79%</formula>
    </cfRule>
    <cfRule type="cellIs" dxfId="111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0"/>
  <sheetViews>
    <sheetView topLeftCell="V4" zoomScale="60" zoomScaleNormal="60" workbookViewId="0">
      <selection activeCell="P30" sqref="P30"/>
    </sheetView>
  </sheetViews>
  <sheetFormatPr baseColWidth="10" defaultRowHeight="15" x14ac:dyDescent="0.25"/>
  <cols>
    <col min="1" max="1" width="21.42578125" style="29" customWidth="1"/>
    <col min="2" max="2" width="29.140625" style="29" customWidth="1"/>
    <col min="3" max="3" width="38.7109375" style="29" customWidth="1"/>
    <col min="4" max="4" width="31" style="29" customWidth="1"/>
    <col min="5" max="5" width="20.7109375" style="29" customWidth="1"/>
    <col min="6" max="6" width="14.42578125" style="38" customWidth="1"/>
    <col min="7" max="7" width="16.85546875" style="29" customWidth="1"/>
    <col min="8" max="8" width="25.28515625" style="29" customWidth="1"/>
    <col min="9" max="9" width="16.5703125" style="29" customWidth="1"/>
    <col min="10" max="10" width="18.5703125" style="29" customWidth="1"/>
    <col min="11" max="11" width="16.5703125" style="29" customWidth="1"/>
    <col min="12" max="12" width="19.42578125" style="29" customWidth="1"/>
    <col min="13" max="13" width="19.42578125" style="57" customWidth="1"/>
    <col min="14" max="14" width="19.42578125" style="29" customWidth="1"/>
    <col min="15" max="25" width="17.85546875" style="29" customWidth="1"/>
    <col min="26" max="26" width="18.140625" style="29" customWidth="1"/>
    <col min="27" max="29" width="20.42578125" style="29" customWidth="1"/>
    <col min="30" max="30" width="31.85546875" customWidth="1"/>
    <col min="31" max="31" width="21.85546875" customWidth="1"/>
    <col min="32" max="32" width="22.140625" style="29" customWidth="1"/>
    <col min="33" max="33" width="19.42578125" style="57" hidden="1" customWidth="1"/>
    <col min="34" max="34" width="19.42578125" style="29" hidden="1" customWidth="1"/>
    <col min="35" max="35" width="17.85546875" style="29" hidden="1" customWidth="1"/>
    <col min="36" max="38" width="18.140625" style="29" hidden="1" customWidth="1"/>
    <col min="39" max="39" width="20.42578125" style="29" hidden="1" customWidth="1"/>
    <col min="40" max="40" width="31.85546875" hidden="1" customWidth="1"/>
    <col min="41" max="41" width="21.85546875" hidden="1" customWidth="1"/>
    <col min="42" max="42" width="22.140625" style="29" hidden="1" customWidth="1"/>
    <col min="43" max="43" width="19.42578125" style="57" hidden="1" customWidth="1"/>
    <col min="44" max="44" width="19.42578125" style="29" hidden="1" customWidth="1"/>
    <col min="45" max="45" width="17.85546875" style="29" hidden="1" customWidth="1"/>
    <col min="46" max="48" width="18.140625" style="29" hidden="1" customWidth="1"/>
    <col min="49" max="49" width="20.42578125" style="29" hidden="1" customWidth="1"/>
    <col min="50" max="50" width="19.28515625" style="29" hidden="1" customWidth="1"/>
    <col min="51" max="51" width="31.85546875" hidden="1" customWidth="1"/>
    <col min="52" max="52" width="21.85546875" hidden="1" customWidth="1"/>
    <col min="53" max="53" width="22.140625" style="29" hidden="1" customWidth="1"/>
    <col min="54" max="54" width="17.7109375" style="29" customWidth="1"/>
    <col min="55" max="55" width="17.85546875" style="29" customWidth="1"/>
    <col min="56" max="56" width="19.140625" style="29" customWidth="1"/>
    <col min="57" max="57" width="18.7109375" style="29" customWidth="1"/>
    <col min="58" max="58" width="21" style="29" customWidth="1"/>
    <col min="59" max="59" width="26.5703125" style="29" customWidth="1"/>
    <col min="60" max="60" width="24.5703125" style="29" customWidth="1"/>
    <col min="61" max="61" width="28.140625" style="29" customWidth="1"/>
    <col min="62" max="62" width="27.85546875" style="29" customWidth="1"/>
    <col min="63" max="63" width="11.42578125" style="29"/>
    <col min="64" max="64" width="11.42578125" style="29" customWidth="1"/>
    <col min="65" max="16384" width="11.42578125" style="29"/>
  </cols>
  <sheetData>
    <row r="1" spans="1:62" ht="75.75" customHeight="1" x14ac:dyDescent="0.2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72"/>
      <c r="BG1" s="472"/>
      <c r="BH1" s="496"/>
      <c r="BI1" s="496"/>
      <c r="BJ1" s="496"/>
    </row>
    <row r="2" spans="1:62" ht="41.25" customHeight="1" x14ac:dyDescent="0.2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  <c r="BF2" s="472"/>
      <c r="BG2" s="472"/>
      <c r="BH2" s="496"/>
      <c r="BI2" s="496"/>
      <c r="BJ2" s="496"/>
    </row>
    <row r="3" spans="1:62" ht="41.25" customHeight="1" x14ac:dyDescent="0.2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72"/>
      <c r="BA3" s="472"/>
      <c r="BB3" s="472"/>
      <c r="BC3" s="472"/>
      <c r="BD3" s="472"/>
      <c r="BE3" s="472"/>
      <c r="BF3" s="472"/>
      <c r="BG3" s="472"/>
      <c r="BH3" s="497" t="s">
        <v>695</v>
      </c>
      <c r="BI3" s="497"/>
      <c r="BJ3" s="497"/>
    </row>
    <row r="4" spans="1:62" ht="32.25" customHeight="1" thickBot="1" x14ac:dyDescent="0.25">
      <c r="A4" s="481" t="s">
        <v>193</v>
      </c>
      <c r="B4" s="481"/>
      <c r="C4" s="481"/>
      <c r="D4" s="481"/>
      <c r="AD4" s="29"/>
      <c r="AE4" s="29"/>
      <c r="AN4" s="29"/>
      <c r="AO4" s="29"/>
      <c r="AY4" s="29"/>
      <c r="AZ4" s="29"/>
    </row>
    <row r="5" spans="1:62" ht="57" customHeight="1" x14ac:dyDescent="0.2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406" t="s">
        <v>59</v>
      </c>
      <c r="N5" s="406" t="s">
        <v>60</v>
      </c>
      <c r="O5" s="406" t="s">
        <v>61</v>
      </c>
      <c r="P5" s="406" t="s">
        <v>62</v>
      </c>
      <c r="Q5" s="406" t="s">
        <v>63</v>
      </c>
      <c r="R5" s="406" t="s">
        <v>64</v>
      </c>
      <c r="S5" s="406" t="s">
        <v>65</v>
      </c>
      <c r="T5" s="406" t="s">
        <v>66</v>
      </c>
      <c r="U5" s="406" t="s">
        <v>67</v>
      </c>
      <c r="V5" s="406" t="s">
        <v>68</v>
      </c>
      <c r="W5" s="406" t="s">
        <v>69</v>
      </c>
      <c r="X5" s="406" t="s">
        <v>70</v>
      </c>
      <c r="Y5" s="406" t="s">
        <v>71</v>
      </c>
      <c r="Z5" s="406" t="s">
        <v>72</v>
      </c>
      <c r="AA5" s="406" t="s">
        <v>73</v>
      </c>
      <c r="AB5" s="406" t="s">
        <v>74</v>
      </c>
      <c r="AC5" s="406" t="s">
        <v>75</v>
      </c>
      <c r="AD5" s="548" t="s">
        <v>447</v>
      </c>
      <c r="AE5" s="494" t="s">
        <v>448</v>
      </c>
      <c r="AF5" s="485" t="s">
        <v>540</v>
      </c>
      <c r="AG5" s="78"/>
      <c r="AH5" s="75"/>
      <c r="AI5" s="75"/>
      <c r="AJ5" s="75"/>
      <c r="AK5" s="75"/>
      <c r="AL5" s="75"/>
      <c r="AM5" s="75"/>
      <c r="AN5" s="548" t="s">
        <v>447</v>
      </c>
      <c r="AO5" s="494" t="s">
        <v>448</v>
      </c>
      <c r="AP5" s="485" t="s">
        <v>543</v>
      </c>
      <c r="AQ5" s="78"/>
      <c r="AR5" s="75"/>
      <c r="AS5" s="75"/>
      <c r="AT5" s="75"/>
      <c r="AU5" s="75"/>
      <c r="AV5" s="75"/>
      <c r="AW5" s="75"/>
      <c r="AX5" s="75"/>
      <c r="AY5" s="548" t="s">
        <v>447</v>
      </c>
      <c r="AZ5" s="494" t="s">
        <v>448</v>
      </c>
      <c r="BA5" s="485" t="s">
        <v>544</v>
      </c>
      <c r="BB5" s="534" t="s">
        <v>11</v>
      </c>
      <c r="BC5" s="535"/>
      <c r="BD5" s="535"/>
      <c r="BE5" s="535"/>
      <c r="BF5" s="536"/>
      <c r="BG5" s="541" t="s">
        <v>197</v>
      </c>
      <c r="BH5" s="542"/>
      <c r="BI5" s="542"/>
      <c r="BJ5" s="543"/>
    </row>
    <row r="6" spans="1:62" ht="63" customHeight="1" x14ac:dyDescent="0.2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269" t="s">
        <v>298</v>
      </c>
      <c r="N6" s="4" t="s">
        <v>298</v>
      </c>
      <c r="O6" s="4" t="s">
        <v>298</v>
      </c>
      <c r="P6" s="4" t="s">
        <v>298</v>
      </c>
      <c r="Q6" s="4" t="s">
        <v>298</v>
      </c>
      <c r="R6" s="4" t="s">
        <v>298</v>
      </c>
      <c r="S6" s="4" t="s">
        <v>298</v>
      </c>
      <c r="T6" s="4" t="s">
        <v>298</v>
      </c>
      <c r="U6" s="4" t="s">
        <v>298</v>
      </c>
      <c r="V6" s="4" t="s">
        <v>298</v>
      </c>
      <c r="W6" s="4" t="s">
        <v>298</v>
      </c>
      <c r="X6" s="4" t="s">
        <v>298</v>
      </c>
      <c r="Y6" s="4" t="s">
        <v>298</v>
      </c>
      <c r="Z6" s="4" t="s">
        <v>298</v>
      </c>
      <c r="AA6" s="4" t="s">
        <v>298</v>
      </c>
      <c r="AB6" s="4" t="s">
        <v>298</v>
      </c>
      <c r="AC6" s="4" t="s">
        <v>298</v>
      </c>
      <c r="AD6" s="549"/>
      <c r="AE6" s="495"/>
      <c r="AF6" s="486"/>
      <c r="AG6" s="4" t="s">
        <v>287</v>
      </c>
      <c r="AH6" s="4" t="s">
        <v>287</v>
      </c>
      <c r="AI6" s="4" t="s">
        <v>287</v>
      </c>
      <c r="AJ6" s="4" t="s">
        <v>287</v>
      </c>
      <c r="AK6" s="4" t="s">
        <v>287</v>
      </c>
      <c r="AL6" s="4" t="s">
        <v>287</v>
      </c>
      <c r="AM6" s="4" t="s">
        <v>287</v>
      </c>
      <c r="AN6" s="549"/>
      <c r="AO6" s="495"/>
      <c r="AP6" s="486"/>
      <c r="AQ6" s="4" t="s">
        <v>288</v>
      </c>
      <c r="AR6" s="4" t="s">
        <v>288</v>
      </c>
      <c r="AS6" s="4" t="s">
        <v>288</v>
      </c>
      <c r="AT6" s="4" t="s">
        <v>288</v>
      </c>
      <c r="AU6" s="4" t="s">
        <v>288</v>
      </c>
      <c r="AV6" s="4" t="s">
        <v>288</v>
      </c>
      <c r="AW6" s="4" t="s">
        <v>288</v>
      </c>
      <c r="AX6" s="4" t="s">
        <v>288</v>
      </c>
      <c r="AY6" s="549"/>
      <c r="AZ6" s="495"/>
      <c r="BA6" s="486"/>
      <c r="BB6" s="5" t="s">
        <v>198</v>
      </c>
      <c r="BC6" s="5" t="s">
        <v>199</v>
      </c>
      <c r="BD6" s="5" t="s">
        <v>200</v>
      </c>
      <c r="BE6" s="5" t="s">
        <v>201</v>
      </c>
      <c r="BF6" s="5" t="s">
        <v>20</v>
      </c>
      <c r="BG6" s="33" t="s">
        <v>202</v>
      </c>
      <c r="BH6" s="33" t="s">
        <v>203</v>
      </c>
      <c r="BI6" s="33" t="s">
        <v>204</v>
      </c>
      <c r="BJ6" s="33" t="s">
        <v>205</v>
      </c>
    </row>
    <row r="7" spans="1:62" s="37" customFormat="1" ht="108" customHeight="1" x14ac:dyDescent="0.25">
      <c r="A7" s="393" t="s">
        <v>55</v>
      </c>
      <c r="B7" s="392" t="s">
        <v>56</v>
      </c>
      <c r="C7" s="392" t="s">
        <v>212</v>
      </c>
      <c r="D7" s="392" t="s">
        <v>302</v>
      </c>
      <c r="E7" s="392" t="s">
        <v>213</v>
      </c>
      <c r="F7" s="391">
        <v>0.4</v>
      </c>
      <c r="G7" s="404" t="s">
        <v>745</v>
      </c>
      <c r="H7" s="73" t="s">
        <v>740</v>
      </c>
      <c r="I7" s="6">
        <v>0.4</v>
      </c>
      <c r="J7" s="11" t="s">
        <v>546</v>
      </c>
      <c r="K7" s="11" t="s">
        <v>746</v>
      </c>
      <c r="L7" s="405" t="s">
        <v>747</v>
      </c>
      <c r="M7" s="270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84" t="str">
        <f>+IFERROR(AVERAGE(M7:AC7),"-")</f>
        <v>-</v>
      </c>
      <c r="AG7" s="56"/>
      <c r="AH7" s="67"/>
      <c r="AI7" s="67"/>
      <c r="AJ7" s="67"/>
      <c r="AK7" s="67"/>
      <c r="AL7" s="67"/>
      <c r="AM7" s="67"/>
      <c r="AN7" s="67"/>
      <c r="AO7" s="67"/>
      <c r="AP7" s="84" t="str">
        <f>+IFERROR(AVERAGE(AG7:AM7),"-")</f>
        <v>-</v>
      </c>
      <c r="AQ7" s="56"/>
      <c r="AR7" s="67"/>
      <c r="AS7" s="67"/>
      <c r="AT7" s="67"/>
      <c r="AU7" s="67"/>
      <c r="AV7" s="67"/>
      <c r="AW7" s="67"/>
      <c r="AX7" s="67"/>
      <c r="AY7" s="67"/>
      <c r="AZ7" s="67"/>
      <c r="BA7" s="84" t="str">
        <f>+IFERROR(AVERAGE(AQ7:AX7),"-")</f>
        <v>-</v>
      </c>
      <c r="BB7" s="26" t="s">
        <v>225</v>
      </c>
      <c r="BC7" s="26" t="str">
        <f>IFERROR((AF7*100%)/$I$7,"-")</f>
        <v>-</v>
      </c>
      <c r="BD7" s="26" t="str">
        <f>IFERROR((AP7*100%)/$I$7,"-")</f>
        <v>-</v>
      </c>
      <c r="BE7" s="26" t="str">
        <f>IFERROR((BA7*100%)/$I$7,"-")</f>
        <v>-</v>
      </c>
      <c r="BF7" s="26" t="str">
        <f>IFERROR(AVERAGE(BB7:BE7),"-")</f>
        <v>-</v>
      </c>
      <c r="BG7" s="34"/>
      <c r="BH7" s="35"/>
      <c r="BI7" s="36"/>
      <c r="BJ7" s="36"/>
    </row>
    <row r="8" spans="1:62" s="68" customFormat="1" ht="45.6" customHeight="1" thickBot="1" x14ac:dyDescent="0.25">
      <c r="A8" s="550" t="s">
        <v>293</v>
      </c>
      <c r="B8" s="551"/>
      <c r="C8" s="551"/>
      <c r="D8" s="551"/>
      <c r="E8" s="551"/>
      <c r="F8" s="551"/>
      <c r="G8" s="551"/>
      <c r="H8" s="551"/>
      <c r="I8" s="551"/>
      <c r="J8" s="551"/>
      <c r="K8" s="551"/>
      <c r="L8" s="552"/>
      <c r="M8" s="69" t="str">
        <f>IFERROR(AVERAGE(M7:M7),"-")</f>
        <v>-</v>
      </c>
      <c r="N8" s="69" t="str">
        <f>IFERROR(AVERAGE(N7:N7),"-")</f>
        <v>-</v>
      </c>
      <c r="O8" s="69" t="str">
        <f>IFERROR(AVERAGE(O7:O7),"-")</f>
        <v>-</v>
      </c>
      <c r="P8" s="69" t="str">
        <f t="shared" ref="P8:AC8" si="0">IFERROR(AVERAGE(P7:P7),"-")</f>
        <v>-</v>
      </c>
      <c r="Q8" s="69" t="str">
        <f t="shared" si="0"/>
        <v>-</v>
      </c>
      <c r="R8" s="69" t="str">
        <f t="shared" si="0"/>
        <v>-</v>
      </c>
      <c r="S8" s="69" t="str">
        <f t="shared" si="0"/>
        <v>-</v>
      </c>
      <c r="T8" s="69" t="str">
        <f t="shared" si="0"/>
        <v>-</v>
      </c>
      <c r="U8" s="69" t="str">
        <f t="shared" si="0"/>
        <v>-</v>
      </c>
      <c r="V8" s="69" t="str">
        <f t="shared" si="0"/>
        <v>-</v>
      </c>
      <c r="W8" s="69" t="str">
        <f t="shared" si="0"/>
        <v>-</v>
      </c>
      <c r="X8" s="69" t="str">
        <f t="shared" si="0"/>
        <v>-</v>
      </c>
      <c r="Y8" s="69" t="str">
        <f t="shared" si="0"/>
        <v>-</v>
      </c>
      <c r="Z8" s="69" t="str">
        <f t="shared" si="0"/>
        <v>-</v>
      </c>
      <c r="AA8" s="69" t="str">
        <f t="shared" si="0"/>
        <v>-</v>
      </c>
      <c r="AB8" s="69" t="str">
        <f t="shared" si="0"/>
        <v>-</v>
      </c>
      <c r="AC8" s="69" t="str">
        <f t="shared" si="0"/>
        <v>-</v>
      </c>
      <c r="AD8" s="178"/>
      <c r="AE8" s="142"/>
      <c r="AF8" s="553" t="str">
        <f t="shared" ref="AF8:AM8" si="1">IFERROR(AVERAGE(AF7:AF7),"-")</f>
        <v>-</v>
      </c>
      <c r="AG8" s="69" t="str">
        <f t="shared" si="1"/>
        <v>-</v>
      </c>
      <c r="AH8" s="69" t="str">
        <f t="shared" si="1"/>
        <v>-</v>
      </c>
      <c r="AI8" s="69" t="str">
        <f t="shared" si="1"/>
        <v>-</v>
      </c>
      <c r="AJ8" s="69" t="str">
        <f t="shared" si="1"/>
        <v>-</v>
      </c>
      <c r="AK8" s="69" t="str">
        <f t="shared" si="1"/>
        <v>-</v>
      </c>
      <c r="AL8" s="69" t="str">
        <f t="shared" si="1"/>
        <v>-</v>
      </c>
      <c r="AM8" s="69" t="str">
        <f t="shared" si="1"/>
        <v>-</v>
      </c>
      <c r="AN8" s="178"/>
      <c r="AO8" s="142"/>
      <c r="AP8" s="553" t="str">
        <f t="shared" ref="AP8:AX8" si="2">IFERROR(AVERAGE(AP7:AP7),"-")</f>
        <v>-</v>
      </c>
      <c r="AQ8" s="69" t="str">
        <f t="shared" si="2"/>
        <v>-</v>
      </c>
      <c r="AR8" s="69" t="str">
        <f t="shared" si="2"/>
        <v>-</v>
      </c>
      <c r="AS8" s="69" t="str">
        <f t="shared" si="2"/>
        <v>-</v>
      </c>
      <c r="AT8" s="69" t="str">
        <f t="shared" si="2"/>
        <v>-</v>
      </c>
      <c r="AU8" s="69" t="str">
        <f t="shared" si="2"/>
        <v>-</v>
      </c>
      <c r="AV8" s="69" t="str">
        <f t="shared" si="2"/>
        <v>-</v>
      </c>
      <c r="AW8" s="69" t="str">
        <f t="shared" si="2"/>
        <v>-</v>
      </c>
      <c r="AX8" s="69" t="str">
        <f t="shared" si="2"/>
        <v>-</v>
      </c>
      <c r="AY8" s="178"/>
      <c r="AZ8" s="142"/>
      <c r="BA8" s="553" t="str">
        <f t="shared" ref="BA8:BF8" si="3">IFERROR(AVERAGE(BA7:BA7),"-")</f>
        <v>-</v>
      </c>
      <c r="BB8" s="69" t="str">
        <f t="shared" si="3"/>
        <v>-</v>
      </c>
      <c r="BC8" s="69" t="str">
        <f t="shared" si="3"/>
        <v>-</v>
      </c>
      <c r="BD8" s="69" t="str">
        <f t="shared" si="3"/>
        <v>-</v>
      </c>
      <c r="BE8" s="69" t="str">
        <f t="shared" si="3"/>
        <v>-</v>
      </c>
      <c r="BF8" s="537" t="str">
        <f t="shared" si="3"/>
        <v>-</v>
      </c>
      <c r="BG8" s="31"/>
      <c r="BH8" s="32"/>
      <c r="BI8" s="28"/>
      <c r="BJ8" s="31"/>
    </row>
    <row r="9" spans="1:62" ht="27" customHeight="1" thickBot="1" x14ac:dyDescent="0.3">
      <c r="AD9" s="207"/>
      <c r="AE9" s="214" t="s">
        <v>295</v>
      </c>
      <c r="AF9" s="554"/>
      <c r="AN9" s="207"/>
      <c r="AO9" s="214" t="s">
        <v>578</v>
      </c>
      <c r="AP9" s="554"/>
      <c r="AY9" s="207"/>
      <c r="AZ9" s="72" t="s">
        <v>297</v>
      </c>
      <c r="BA9" s="554"/>
      <c r="BE9" s="71" t="s">
        <v>294</v>
      </c>
      <c r="BF9" s="538"/>
    </row>
    <row r="12" spans="1:62" x14ac:dyDescent="0.25">
      <c r="F12" s="547" t="s">
        <v>641</v>
      </c>
      <c r="G12" s="547"/>
      <c r="H12" s="547"/>
      <c r="I12" s="547"/>
      <c r="J12" s="547"/>
      <c r="K12" s="547"/>
      <c r="L12" s="27" t="s">
        <v>638</v>
      </c>
      <c r="M12" s="394" t="s">
        <v>639</v>
      </c>
      <c r="N12" s="27" t="s">
        <v>643</v>
      </c>
      <c r="O12" s="27" t="s">
        <v>644</v>
      </c>
      <c r="P12" s="27" t="s">
        <v>642</v>
      </c>
    </row>
    <row r="13" spans="1:62" x14ac:dyDescent="0.25">
      <c r="F13" s="545" t="s">
        <v>748</v>
      </c>
      <c r="G13" s="545"/>
      <c r="H13" s="545"/>
      <c r="I13" s="545"/>
      <c r="J13" s="545"/>
      <c r="K13" s="545"/>
      <c r="L13" s="407">
        <v>0.4</v>
      </c>
      <c r="M13" s="318">
        <v>2.5000000000000001E-2</v>
      </c>
      <c r="N13" s="408">
        <f>+M7</f>
        <v>0</v>
      </c>
      <c r="O13" s="27">
        <f t="shared" ref="O13:O29" si="4">IFERROR((N13*100%)/L13,"-")</f>
        <v>0</v>
      </c>
      <c r="P13" s="27">
        <f t="shared" ref="P13:P29" si="5">+IFERROR(IF(O13=100%,M13,(+O13*M13)),"-")</f>
        <v>0</v>
      </c>
    </row>
    <row r="14" spans="1:62" x14ac:dyDescent="0.25">
      <c r="F14" s="545" t="s">
        <v>749</v>
      </c>
      <c r="G14" s="545"/>
      <c r="H14" s="545"/>
      <c r="I14" s="545"/>
      <c r="J14" s="545"/>
      <c r="K14" s="545"/>
      <c r="L14" s="407">
        <v>0.4</v>
      </c>
      <c r="M14" s="318">
        <v>2.5000000000000001E-2</v>
      </c>
      <c r="N14" s="408">
        <f>+N7</f>
        <v>0</v>
      </c>
      <c r="O14" s="27">
        <f t="shared" si="4"/>
        <v>0</v>
      </c>
      <c r="P14" s="27">
        <f t="shared" si="5"/>
        <v>0</v>
      </c>
    </row>
    <row r="15" spans="1:62" x14ac:dyDescent="0.25">
      <c r="F15" s="545" t="s">
        <v>750</v>
      </c>
      <c r="G15" s="545"/>
      <c r="H15" s="545"/>
      <c r="I15" s="545"/>
      <c r="J15" s="545"/>
      <c r="K15" s="545"/>
      <c r="L15" s="407">
        <v>0.4</v>
      </c>
      <c r="M15" s="318">
        <v>2.5000000000000001E-2</v>
      </c>
      <c r="N15" s="408">
        <f>+O7</f>
        <v>0</v>
      </c>
      <c r="O15" s="27">
        <f t="shared" si="4"/>
        <v>0</v>
      </c>
      <c r="P15" s="27">
        <f t="shared" si="5"/>
        <v>0</v>
      </c>
    </row>
    <row r="16" spans="1:62" x14ac:dyDescent="0.25">
      <c r="F16" s="545" t="s">
        <v>751</v>
      </c>
      <c r="G16" s="545"/>
      <c r="H16" s="545"/>
      <c r="I16" s="545"/>
      <c r="J16" s="545"/>
      <c r="K16" s="545"/>
      <c r="L16" s="407">
        <v>0.4</v>
      </c>
      <c r="M16" s="318">
        <v>2.5000000000000001E-2</v>
      </c>
      <c r="N16" s="408">
        <f>+P7</f>
        <v>0</v>
      </c>
      <c r="O16" s="27">
        <f t="shared" si="4"/>
        <v>0</v>
      </c>
      <c r="P16" s="27">
        <f t="shared" si="5"/>
        <v>0</v>
      </c>
    </row>
    <row r="17" spans="6:16" x14ac:dyDescent="0.25">
      <c r="F17" s="545" t="s">
        <v>752</v>
      </c>
      <c r="G17" s="545"/>
      <c r="H17" s="545"/>
      <c r="I17" s="545"/>
      <c r="J17" s="545"/>
      <c r="K17" s="545"/>
      <c r="L17" s="407">
        <v>0.4</v>
      </c>
      <c r="M17" s="318">
        <v>2.5000000000000001E-2</v>
      </c>
      <c r="N17" s="408">
        <f>+Q7</f>
        <v>0</v>
      </c>
      <c r="O17" s="27">
        <f t="shared" si="4"/>
        <v>0</v>
      </c>
      <c r="P17" s="27">
        <f t="shared" si="5"/>
        <v>0</v>
      </c>
    </row>
    <row r="18" spans="6:16" x14ac:dyDescent="0.25">
      <c r="F18" s="545" t="s">
        <v>753</v>
      </c>
      <c r="G18" s="545"/>
      <c r="H18" s="545"/>
      <c r="I18" s="545"/>
      <c r="J18" s="545"/>
      <c r="K18" s="545"/>
      <c r="L18" s="407">
        <v>0.4</v>
      </c>
      <c r="M18" s="318">
        <v>2.5000000000000001E-2</v>
      </c>
      <c r="N18" s="408">
        <f>+R7</f>
        <v>0</v>
      </c>
      <c r="O18" s="27">
        <f t="shared" si="4"/>
        <v>0</v>
      </c>
      <c r="P18" s="27">
        <f t="shared" si="5"/>
        <v>0</v>
      </c>
    </row>
    <row r="19" spans="6:16" x14ac:dyDescent="0.25">
      <c r="F19" s="545" t="s">
        <v>754</v>
      </c>
      <c r="G19" s="545"/>
      <c r="H19" s="545"/>
      <c r="I19" s="545"/>
      <c r="J19" s="545"/>
      <c r="K19" s="545"/>
      <c r="L19" s="407">
        <v>0.4</v>
      </c>
      <c r="M19" s="318">
        <v>2.5000000000000001E-2</v>
      </c>
      <c r="N19" s="408">
        <f>+S7</f>
        <v>0</v>
      </c>
      <c r="O19" s="27">
        <f t="shared" si="4"/>
        <v>0</v>
      </c>
      <c r="P19" s="27">
        <f t="shared" si="5"/>
        <v>0</v>
      </c>
    </row>
    <row r="20" spans="6:16" x14ac:dyDescent="0.25">
      <c r="F20" s="545" t="s">
        <v>755</v>
      </c>
      <c r="G20" s="545"/>
      <c r="H20" s="545"/>
      <c r="I20" s="545"/>
      <c r="J20" s="545"/>
      <c r="K20" s="545"/>
      <c r="L20" s="407">
        <v>0.4</v>
      </c>
      <c r="M20" s="318">
        <v>2.5000000000000001E-2</v>
      </c>
      <c r="N20" s="408">
        <f>+T7</f>
        <v>0</v>
      </c>
      <c r="O20" s="27">
        <f t="shared" si="4"/>
        <v>0</v>
      </c>
      <c r="P20" s="27">
        <f t="shared" si="5"/>
        <v>0</v>
      </c>
    </row>
    <row r="21" spans="6:16" x14ac:dyDescent="0.25">
      <c r="F21" s="545" t="s">
        <v>756</v>
      </c>
      <c r="G21" s="545"/>
      <c r="H21" s="545"/>
      <c r="I21" s="545"/>
      <c r="J21" s="545"/>
      <c r="K21" s="545"/>
      <c r="L21" s="407">
        <v>0.4</v>
      </c>
      <c r="M21" s="318">
        <v>2.5000000000000001E-2</v>
      </c>
      <c r="N21" s="408">
        <f>+U7</f>
        <v>0</v>
      </c>
      <c r="O21" s="27">
        <f t="shared" si="4"/>
        <v>0</v>
      </c>
      <c r="P21" s="27">
        <f t="shared" si="5"/>
        <v>0</v>
      </c>
    </row>
    <row r="22" spans="6:16" x14ac:dyDescent="0.25">
      <c r="F22" s="545" t="s">
        <v>757</v>
      </c>
      <c r="G22" s="545"/>
      <c r="H22" s="545"/>
      <c r="I22" s="545"/>
      <c r="J22" s="545"/>
      <c r="K22" s="545"/>
      <c r="L22" s="407">
        <v>0.4</v>
      </c>
      <c r="M22" s="318">
        <v>2.5000000000000001E-2</v>
      </c>
      <c r="N22" s="408">
        <f>+V7</f>
        <v>0</v>
      </c>
      <c r="O22" s="27">
        <f t="shared" si="4"/>
        <v>0</v>
      </c>
      <c r="P22" s="27">
        <f t="shared" si="5"/>
        <v>0</v>
      </c>
    </row>
    <row r="23" spans="6:16" x14ac:dyDescent="0.25">
      <c r="F23" s="545" t="s">
        <v>758</v>
      </c>
      <c r="G23" s="545"/>
      <c r="H23" s="545"/>
      <c r="I23" s="545"/>
      <c r="J23" s="545"/>
      <c r="K23" s="545"/>
      <c r="L23" s="407">
        <v>0.4</v>
      </c>
      <c r="M23" s="318">
        <v>2.5000000000000001E-2</v>
      </c>
      <c r="N23" s="408">
        <f>+W7</f>
        <v>0</v>
      </c>
      <c r="O23" s="27">
        <f t="shared" si="4"/>
        <v>0</v>
      </c>
      <c r="P23" s="27">
        <f t="shared" si="5"/>
        <v>0</v>
      </c>
    </row>
    <row r="24" spans="6:16" x14ac:dyDescent="0.25">
      <c r="F24" s="545" t="s">
        <v>759</v>
      </c>
      <c r="G24" s="545"/>
      <c r="H24" s="545"/>
      <c r="I24" s="545"/>
      <c r="J24" s="545"/>
      <c r="K24" s="545"/>
      <c r="L24" s="407">
        <v>0.4</v>
      </c>
      <c r="M24" s="318">
        <v>2.5000000000000001E-2</v>
      </c>
      <c r="N24" s="408">
        <f>+X7</f>
        <v>0</v>
      </c>
      <c r="O24" s="27">
        <f t="shared" si="4"/>
        <v>0</v>
      </c>
      <c r="P24" s="27">
        <f t="shared" si="5"/>
        <v>0</v>
      </c>
    </row>
    <row r="25" spans="6:16" x14ac:dyDescent="0.25">
      <c r="F25" s="545" t="s">
        <v>760</v>
      </c>
      <c r="G25" s="545"/>
      <c r="H25" s="545"/>
      <c r="I25" s="545"/>
      <c r="J25" s="545"/>
      <c r="K25" s="545"/>
      <c r="L25" s="407">
        <v>0.4</v>
      </c>
      <c r="M25" s="318">
        <v>2.5000000000000001E-2</v>
      </c>
      <c r="N25" s="408">
        <f>+Y7</f>
        <v>0</v>
      </c>
      <c r="O25" s="27">
        <f t="shared" si="4"/>
        <v>0</v>
      </c>
      <c r="P25" s="27">
        <f t="shared" si="5"/>
        <v>0</v>
      </c>
    </row>
    <row r="26" spans="6:16" x14ac:dyDescent="0.25">
      <c r="F26" s="545" t="s">
        <v>761</v>
      </c>
      <c r="G26" s="545"/>
      <c r="H26" s="545"/>
      <c r="I26" s="545"/>
      <c r="J26" s="545"/>
      <c r="K26" s="545"/>
      <c r="L26" s="407">
        <v>0.4</v>
      </c>
      <c r="M26" s="318">
        <v>2.5000000000000001E-2</v>
      </c>
      <c r="N26" s="408">
        <f>+Z7</f>
        <v>0</v>
      </c>
      <c r="O26" s="27">
        <f t="shared" si="4"/>
        <v>0</v>
      </c>
      <c r="P26" s="27">
        <f t="shared" si="5"/>
        <v>0</v>
      </c>
    </row>
    <row r="27" spans="6:16" x14ac:dyDescent="0.25">
      <c r="F27" s="545" t="s">
        <v>762</v>
      </c>
      <c r="G27" s="545"/>
      <c r="H27" s="545"/>
      <c r="I27" s="545"/>
      <c r="J27" s="545"/>
      <c r="K27" s="545"/>
      <c r="L27" s="407">
        <v>0.4</v>
      </c>
      <c r="M27" s="318">
        <v>2.5000000000000001E-2</v>
      </c>
      <c r="N27" s="408">
        <f>+AA7</f>
        <v>0</v>
      </c>
      <c r="O27" s="27">
        <f t="shared" si="4"/>
        <v>0</v>
      </c>
      <c r="P27" s="27">
        <f t="shared" si="5"/>
        <v>0</v>
      </c>
    </row>
    <row r="28" spans="6:16" x14ac:dyDescent="0.25">
      <c r="F28" s="545" t="s">
        <v>763</v>
      </c>
      <c r="G28" s="545"/>
      <c r="H28" s="545"/>
      <c r="I28" s="545"/>
      <c r="J28" s="545"/>
      <c r="K28" s="545"/>
      <c r="L28" s="407">
        <v>0.4</v>
      </c>
      <c r="M28" s="318">
        <v>2.5000000000000001E-2</v>
      </c>
      <c r="N28" s="408">
        <f>+AB7</f>
        <v>0</v>
      </c>
      <c r="O28" s="27">
        <f t="shared" si="4"/>
        <v>0</v>
      </c>
      <c r="P28" s="27">
        <f t="shared" si="5"/>
        <v>0</v>
      </c>
    </row>
    <row r="29" spans="6:16" x14ac:dyDescent="0.25">
      <c r="F29" s="545" t="s">
        <v>764</v>
      </c>
      <c r="G29" s="545"/>
      <c r="H29" s="545"/>
      <c r="I29" s="545"/>
      <c r="J29" s="545"/>
      <c r="K29" s="545"/>
      <c r="L29" s="407">
        <v>0.4</v>
      </c>
      <c r="M29" s="318">
        <v>2.5000000000000001E-2</v>
      </c>
      <c r="N29" s="408">
        <f>+AC7</f>
        <v>0</v>
      </c>
      <c r="O29" s="27">
        <f t="shared" si="4"/>
        <v>0</v>
      </c>
      <c r="P29" s="27">
        <f t="shared" si="5"/>
        <v>0</v>
      </c>
    </row>
    <row r="30" spans="6:16" ht="15.75" x14ac:dyDescent="0.25">
      <c r="F30" s="546"/>
      <c r="G30" s="546"/>
      <c r="H30" s="546"/>
      <c r="I30" s="546"/>
      <c r="J30" s="546"/>
      <c r="K30" s="546"/>
      <c r="M30" s="394">
        <f>SUM(M13:M29)</f>
        <v>0.4250000000000001</v>
      </c>
      <c r="P30" s="409">
        <f>SUM(P13:P29)</f>
        <v>0</v>
      </c>
    </row>
  </sheetData>
  <mergeCells count="54">
    <mergeCell ref="A1:B1"/>
    <mergeCell ref="C1:BG1"/>
    <mergeCell ref="BH1:BJ2"/>
    <mergeCell ref="A2:B3"/>
    <mergeCell ref="C2:BG3"/>
    <mergeCell ref="BH3:BJ3"/>
    <mergeCell ref="A4:D4"/>
    <mergeCell ref="A5:A6"/>
    <mergeCell ref="B5:B6"/>
    <mergeCell ref="C5:C6"/>
    <mergeCell ref="D5:D6"/>
    <mergeCell ref="BG5:BJ5"/>
    <mergeCell ref="AO5:AO6"/>
    <mergeCell ref="AY5:AY6"/>
    <mergeCell ref="AZ5:AZ6"/>
    <mergeCell ref="BA5:BA6"/>
    <mergeCell ref="AP5:AP6"/>
    <mergeCell ref="BB5:BF5"/>
    <mergeCell ref="A8:L8"/>
    <mergeCell ref="AF8:AF9"/>
    <mergeCell ref="AP8:AP9"/>
    <mergeCell ref="BA8:BA9"/>
    <mergeCell ref="J5:J6"/>
    <mergeCell ref="E5:E6"/>
    <mergeCell ref="F5:F6"/>
    <mergeCell ref="G5:G6"/>
    <mergeCell ref="H5:H6"/>
    <mergeCell ref="I5:I6"/>
    <mergeCell ref="K5:K6"/>
    <mergeCell ref="AD5:AD6"/>
    <mergeCell ref="AE5:AE6"/>
    <mergeCell ref="AN5:AN6"/>
    <mergeCell ref="L5:L6"/>
    <mergeCell ref="AF5:AF6"/>
    <mergeCell ref="BF8:BF9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</mergeCells>
  <conditionalFormatting sqref="BF8 BB7:BF7">
    <cfRule type="cellIs" dxfId="59" priority="1" operator="lessThan">
      <formula>0.6</formula>
    </cfRule>
    <cfRule type="cellIs" dxfId="58" priority="2" operator="between">
      <formula>60%</formula>
      <formula>79%</formula>
    </cfRule>
    <cfRule type="cellIs" dxfId="57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topLeftCell="D22" zoomScale="80" zoomScaleNormal="80" workbookViewId="0">
      <selection activeCell="Z11" sqref="Z11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7" max="7" width="21.42578125" customWidth="1"/>
    <col min="8" max="8" width="25.28515625" style="156" customWidth="1"/>
    <col min="9" max="9" width="17.7109375" style="156" customWidth="1"/>
    <col min="10" max="10" width="13.28515625" style="169" customWidth="1"/>
    <col min="11" max="11" width="13.28515625" style="264" customWidth="1"/>
    <col min="12" max="12" width="13" customWidth="1"/>
    <col min="13" max="19" width="19.42578125" customWidth="1"/>
    <col min="20" max="20" width="28.85546875" customWidth="1"/>
    <col min="21" max="21" width="21.85546875" customWidth="1"/>
    <col min="22" max="22" width="19.42578125" customWidth="1"/>
    <col min="23" max="28" width="19.42578125" hidden="1" customWidth="1"/>
    <col min="29" max="29" width="28.85546875" hidden="1" customWidth="1"/>
    <col min="30" max="30" width="21.85546875" hidden="1" customWidth="1"/>
    <col min="31" max="37" width="19.42578125" hidden="1" customWidth="1"/>
    <col min="38" max="38" width="28.85546875" hidden="1" customWidth="1"/>
    <col min="39" max="39" width="21.85546875" hidden="1" customWidth="1"/>
    <col min="40" max="40" width="19.42578125" hidden="1" customWidth="1"/>
    <col min="41" max="45" width="17.7109375" customWidth="1"/>
    <col min="46" max="49" width="26.5703125" customWidth="1"/>
  </cols>
  <sheetData>
    <row r="1" spans="1:49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96"/>
      <c r="AV1" s="496"/>
      <c r="AW1" s="496"/>
    </row>
    <row r="2" spans="1:49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96"/>
      <c r="AV2" s="496"/>
      <c r="AW2" s="496"/>
    </row>
    <row r="3" spans="1:49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97" t="s">
        <v>695</v>
      </c>
      <c r="AV3" s="497"/>
      <c r="AW3" s="497"/>
    </row>
    <row r="4" spans="1:49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126"/>
      <c r="I4" s="126"/>
      <c r="J4" s="126"/>
      <c r="K4" s="126"/>
      <c r="L4" s="29"/>
      <c r="M4" s="57"/>
      <c r="N4" s="29"/>
      <c r="O4" s="29"/>
      <c r="P4" s="29"/>
      <c r="Q4" s="29"/>
      <c r="R4" s="29"/>
      <c r="S4" s="29"/>
      <c r="T4" s="29"/>
      <c r="U4" s="29"/>
      <c r="V4" s="29"/>
      <c r="W4" s="57"/>
      <c r="X4" s="29"/>
      <c r="Y4" s="29"/>
      <c r="Z4" s="29"/>
      <c r="AA4" s="29"/>
      <c r="AB4" s="29"/>
      <c r="AC4" s="29"/>
      <c r="AD4" s="29"/>
      <c r="AE4" s="29"/>
      <c r="AF4" s="57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</row>
    <row r="5" spans="1:49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205" t="s">
        <v>325</v>
      </c>
      <c r="N5" s="221" t="s">
        <v>502</v>
      </c>
      <c r="O5" s="221" t="s">
        <v>503</v>
      </c>
      <c r="P5" s="221" t="s">
        <v>504</v>
      </c>
      <c r="Q5" s="221" t="s">
        <v>505</v>
      </c>
      <c r="R5" s="306" t="s">
        <v>629</v>
      </c>
      <c r="S5" s="221" t="s">
        <v>532</v>
      </c>
      <c r="T5" s="548" t="s">
        <v>447</v>
      </c>
      <c r="U5" s="494" t="s">
        <v>448</v>
      </c>
      <c r="V5" s="485" t="s">
        <v>540</v>
      </c>
      <c r="W5" s="205" t="s">
        <v>325</v>
      </c>
      <c r="X5" s="221" t="s">
        <v>502</v>
      </c>
      <c r="Y5" s="221" t="s">
        <v>503</v>
      </c>
      <c r="Z5" s="221" t="s">
        <v>504</v>
      </c>
      <c r="AA5" s="221" t="s">
        <v>505</v>
      </c>
      <c r="AB5" s="221" t="s">
        <v>532</v>
      </c>
      <c r="AC5" s="548" t="s">
        <v>447</v>
      </c>
      <c r="AD5" s="494" t="s">
        <v>448</v>
      </c>
      <c r="AE5" s="485" t="s">
        <v>543</v>
      </c>
      <c r="AF5" s="205" t="s">
        <v>325</v>
      </c>
      <c r="AG5" s="221" t="s">
        <v>502</v>
      </c>
      <c r="AH5" s="221" t="s">
        <v>503</v>
      </c>
      <c r="AI5" s="221" t="s">
        <v>504</v>
      </c>
      <c r="AJ5" s="221" t="s">
        <v>505</v>
      </c>
      <c r="AK5" s="221" t="s">
        <v>532</v>
      </c>
      <c r="AL5" s="548" t="s">
        <v>447</v>
      </c>
      <c r="AM5" s="494" t="s">
        <v>448</v>
      </c>
      <c r="AN5" s="485" t="s">
        <v>551</v>
      </c>
      <c r="AO5" s="528" t="s">
        <v>11</v>
      </c>
      <c r="AP5" s="529"/>
      <c r="AQ5" s="529"/>
      <c r="AR5" s="529"/>
      <c r="AS5" s="530"/>
      <c r="AT5" s="478" t="s">
        <v>197</v>
      </c>
      <c r="AU5" s="479"/>
      <c r="AV5" s="479"/>
      <c r="AW5" s="480"/>
    </row>
    <row r="6" spans="1:49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4" t="s">
        <v>298</v>
      </c>
      <c r="O6" s="4" t="s">
        <v>298</v>
      </c>
      <c r="P6" s="4" t="s">
        <v>298</v>
      </c>
      <c r="Q6" s="4" t="s">
        <v>298</v>
      </c>
      <c r="R6" s="4" t="s">
        <v>298</v>
      </c>
      <c r="S6" s="4" t="s">
        <v>298</v>
      </c>
      <c r="T6" s="549"/>
      <c r="U6" s="495"/>
      <c r="V6" s="486"/>
      <c r="W6" s="173" t="s">
        <v>287</v>
      </c>
      <c r="X6" s="4" t="s">
        <v>287</v>
      </c>
      <c r="Y6" s="4" t="s">
        <v>287</v>
      </c>
      <c r="Z6" s="4" t="s">
        <v>287</v>
      </c>
      <c r="AA6" s="4" t="s">
        <v>287</v>
      </c>
      <c r="AB6" s="4" t="s">
        <v>287</v>
      </c>
      <c r="AC6" s="549"/>
      <c r="AD6" s="495"/>
      <c r="AE6" s="486"/>
      <c r="AF6" s="173" t="s">
        <v>320</v>
      </c>
      <c r="AG6" s="4" t="s">
        <v>320</v>
      </c>
      <c r="AH6" s="4" t="s">
        <v>320</v>
      </c>
      <c r="AI6" s="4" t="s">
        <v>320</v>
      </c>
      <c r="AJ6" s="4" t="s">
        <v>320</v>
      </c>
      <c r="AK6" s="4" t="s">
        <v>320</v>
      </c>
      <c r="AL6" s="549"/>
      <c r="AM6" s="495"/>
      <c r="AN6" s="486"/>
      <c r="AO6" s="182" t="s">
        <v>198</v>
      </c>
      <c r="AP6" s="5" t="s">
        <v>199</v>
      </c>
      <c r="AQ6" s="5" t="s">
        <v>200</v>
      </c>
      <c r="AR6" s="5" t="s">
        <v>201</v>
      </c>
      <c r="AS6" s="183" t="s">
        <v>20</v>
      </c>
      <c r="AT6" s="187" t="s">
        <v>202</v>
      </c>
      <c r="AU6" s="33" t="s">
        <v>203</v>
      </c>
      <c r="AV6" s="33" t="s">
        <v>204</v>
      </c>
      <c r="AW6" s="188" t="s">
        <v>205</v>
      </c>
    </row>
    <row r="7" spans="1:49" ht="59.25" customHeight="1" x14ac:dyDescent="0.25">
      <c r="A7" s="565"/>
      <c r="B7" s="556"/>
      <c r="C7" s="556"/>
      <c r="D7" s="556"/>
      <c r="E7" s="556"/>
      <c r="F7" s="557"/>
      <c r="G7" s="89" t="s">
        <v>461</v>
      </c>
      <c r="H7" s="95" t="s">
        <v>462</v>
      </c>
      <c r="I7" s="85" t="s">
        <v>725</v>
      </c>
      <c r="J7" s="85" t="s">
        <v>546</v>
      </c>
      <c r="K7" s="277"/>
      <c r="L7" s="555"/>
      <c r="M7" s="174"/>
      <c r="N7" s="67"/>
      <c r="O7" s="67"/>
      <c r="P7" s="67"/>
      <c r="Q7" s="67"/>
      <c r="R7" s="67"/>
      <c r="S7" s="67" t="s">
        <v>237</v>
      </c>
      <c r="T7" s="67"/>
      <c r="U7" s="67"/>
      <c r="V7" s="175" t="str">
        <f>+IFERROR(AVERAGE(M7:S7),"-")</f>
        <v>-</v>
      </c>
      <c r="W7" s="174"/>
      <c r="X7" s="67"/>
      <c r="Y7" s="67"/>
      <c r="Z7" s="67"/>
      <c r="AA7" s="67"/>
      <c r="AB7" s="67"/>
      <c r="AC7" s="67"/>
      <c r="AD7" s="67"/>
      <c r="AE7" s="175" t="str">
        <f>+IFERROR(AVERAGE(W7:AB7),"-")</f>
        <v>-</v>
      </c>
      <c r="AF7" s="174"/>
      <c r="AG7" s="67"/>
      <c r="AH7" s="67"/>
      <c r="AI7" s="67"/>
      <c r="AJ7" s="67"/>
      <c r="AK7" s="67"/>
      <c r="AL7" s="67"/>
      <c r="AM7" s="67"/>
      <c r="AN7" s="175" t="str">
        <f>+IFERROR(AVERAGE(AF7:AK7),"-")</f>
        <v>-</v>
      </c>
      <c r="AO7" s="184" t="s">
        <v>225</v>
      </c>
      <c r="AP7" s="26" t="str">
        <f t="shared" ref="AP7:AP22" si="0">IFERROR((V7*100%)/I7,"-")</f>
        <v>-</v>
      </c>
      <c r="AQ7" s="26" t="str">
        <f t="shared" ref="AQ7:AQ22" si="1">IFERROR((AE7*100%)/I7,"-")</f>
        <v>-</v>
      </c>
      <c r="AR7" s="26" t="str">
        <f t="shared" ref="AR7:AR22" si="2">IFERROR((AN7*100%)/I7,"-")</f>
        <v>-</v>
      </c>
      <c r="AS7" s="185" t="str">
        <f t="shared" ref="AS7:AS22" si="3">IFERROR(AVERAGE(AO7:AR7),"-")</f>
        <v>-</v>
      </c>
      <c r="AT7" s="189"/>
      <c r="AU7" s="35"/>
      <c r="AV7" s="36"/>
      <c r="AW7" s="190"/>
    </row>
    <row r="8" spans="1:49" ht="109.5" customHeight="1" x14ac:dyDescent="0.25">
      <c r="A8" s="565"/>
      <c r="B8" s="556"/>
      <c r="C8" s="556"/>
      <c r="D8" s="556"/>
      <c r="E8" s="556"/>
      <c r="F8" s="557"/>
      <c r="G8" s="166" t="s">
        <v>463</v>
      </c>
      <c r="H8" s="165" t="s">
        <v>711</v>
      </c>
      <c r="I8" s="85" t="s">
        <v>726</v>
      </c>
      <c r="J8" s="85" t="s">
        <v>546</v>
      </c>
      <c r="K8" s="277"/>
      <c r="L8" s="555"/>
      <c r="M8" s="174"/>
      <c r="N8" s="67"/>
      <c r="O8" s="67"/>
      <c r="P8" s="67"/>
      <c r="Q8" s="67"/>
      <c r="R8" s="67"/>
      <c r="S8" s="67" t="s">
        <v>237</v>
      </c>
      <c r="T8" s="67"/>
      <c r="U8" s="7"/>
      <c r="V8" s="175" t="str">
        <f t="shared" ref="V8:V27" si="4">+IFERROR(AVERAGE(M8:S8),"-")</f>
        <v>-</v>
      </c>
      <c r="W8" s="174"/>
      <c r="X8" s="67"/>
      <c r="Y8" s="67"/>
      <c r="Z8" s="67"/>
      <c r="AA8" s="67"/>
      <c r="AB8" s="67"/>
      <c r="AC8" s="7"/>
      <c r="AD8" s="7"/>
      <c r="AE8" s="175" t="str">
        <f t="shared" ref="AE8:AE28" si="5">+IFERROR(AVERAGE(W8:AB8),"-")</f>
        <v>-</v>
      </c>
      <c r="AF8" s="174"/>
      <c r="AG8" s="67"/>
      <c r="AH8" s="67"/>
      <c r="AI8" s="67"/>
      <c r="AJ8" s="67"/>
      <c r="AK8" s="67"/>
      <c r="AL8" s="7"/>
      <c r="AM8" s="7"/>
      <c r="AN8" s="175" t="str">
        <f t="shared" ref="AN8:AN28" si="6">+IFERROR(AVERAGE(AF8:AK8),"-")</f>
        <v>-</v>
      </c>
      <c r="AO8" s="184" t="s">
        <v>225</v>
      </c>
      <c r="AP8" s="26" t="str">
        <f t="shared" si="0"/>
        <v>-</v>
      </c>
      <c r="AQ8" s="26" t="str">
        <f t="shared" si="1"/>
        <v>-</v>
      </c>
      <c r="AR8" s="26" t="str">
        <f t="shared" si="2"/>
        <v>-</v>
      </c>
      <c r="AS8" s="185" t="str">
        <f t="shared" si="3"/>
        <v>-</v>
      </c>
      <c r="AT8" s="189"/>
      <c r="AU8" s="35"/>
      <c r="AV8" s="36"/>
      <c r="AW8" s="190"/>
    </row>
    <row r="9" spans="1:49" ht="72.75" customHeight="1" x14ac:dyDescent="0.25">
      <c r="A9" s="565"/>
      <c r="B9" s="556"/>
      <c r="C9" s="556"/>
      <c r="D9" s="556"/>
      <c r="E9" s="556"/>
      <c r="F9" s="557"/>
      <c r="G9" s="166" t="s">
        <v>464</v>
      </c>
      <c r="H9" s="165" t="s">
        <v>465</v>
      </c>
      <c r="I9" s="85" t="s">
        <v>727</v>
      </c>
      <c r="J9" s="85" t="s">
        <v>546</v>
      </c>
      <c r="K9" s="277"/>
      <c r="L9" s="555"/>
      <c r="M9" s="174" t="s">
        <v>237</v>
      </c>
      <c r="N9" s="67" t="s">
        <v>237</v>
      </c>
      <c r="O9" s="67"/>
      <c r="P9" s="67"/>
      <c r="Q9" s="67"/>
      <c r="R9" s="67"/>
      <c r="S9" s="67"/>
      <c r="T9" s="56" t="s">
        <v>622</v>
      </c>
      <c r="U9" s="7"/>
      <c r="V9" s="175" t="str">
        <f t="shared" si="4"/>
        <v>-</v>
      </c>
      <c r="W9" s="174"/>
      <c r="X9" s="67"/>
      <c r="Y9" s="67"/>
      <c r="Z9" s="67"/>
      <c r="AA9" s="67"/>
      <c r="AB9" s="67"/>
      <c r="AC9" s="56"/>
      <c r="AD9" s="7"/>
      <c r="AE9" s="175" t="str">
        <f t="shared" si="5"/>
        <v>-</v>
      </c>
      <c r="AF9" s="174"/>
      <c r="AG9" s="67"/>
      <c r="AH9" s="67"/>
      <c r="AI9" s="67"/>
      <c r="AJ9" s="67"/>
      <c r="AK9" s="67"/>
      <c r="AL9" s="56"/>
      <c r="AM9" s="7"/>
      <c r="AN9" s="175" t="str">
        <f t="shared" si="6"/>
        <v>-</v>
      </c>
      <c r="AO9" s="184" t="s">
        <v>225</v>
      </c>
      <c r="AP9" s="26" t="str">
        <f t="shared" si="0"/>
        <v>-</v>
      </c>
      <c r="AQ9" s="26" t="str">
        <f t="shared" si="1"/>
        <v>-</v>
      </c>
      <c r="AR9" s="26" t="str">
        <f t="shared" si="2"/>
        <v>-</v>
      </c>
      <c r="AS9" s="185" t="str">
        <f t="shared" si="3"/>
        <v>-</v>
      </c>
      <c r="AT9" s="189"/>
      <c r="AU9" s="35"/>
      <c r="AV9" s="36"/>
      <c r="AW9" s="190"/>
    </row>
    <row r="10" spans="1:49" ht="71.25" customHeight="1" x14ac:dyDescent="0.25">
      <c r="A10" s="565"/>
      <c r="B10" s="556"/>
      <c r="C10" s="556"/>
      <c r="D10" s="556"/>
      <c r="E10" s="556"/>
      <c r="F10" s="557"/>
      <c r="G10" s="374" t="s">
        <v>466</v>
      </c>
      <c r="H10" s="165" t="s">
        <v>467</v>
      </c>
      <c r="I10" s="85" t="s">
        <v>132</v>
      </c>
      <c r="J10" s="85" t="s">
        <v>546</v>
      </c>
      <c r="K10" s="277"/>
      <c r="L10" s="555"/>
      <c r="M10" s="174"/>
      <c r="N10" s="67" t="s">
        <v>237</v>
      </c>
      <c r="O10" s="67"/>
      <c r="P10" s="67"/>
      <c r="Q10" s="67"/>
      <c r="R10" s="67"/>
      <c r="S10" s="67"/>
      <c r="T10" s="56"/>
      <c r="U10" s="56"/>
      <c r="V10" s="175" t="str">
        <f t="shared" si="4"/>
        <v>-</v>
      </c>
      <c r="W10" s="174"/>
      <c r="X10" s="67"/>
      <c r="Y10" s="67"/>
      <c r="Z10" s="67"/>
      <c r="AA10" s="67"/>
      <c r="AB10" s="67"/>
      <c r="AC10" s="56"/>
      <c r="AD10" s="56"/>
      <c r="AE10" s="175" t="str">
        <f t="shared" si="5"/>
        <v>-</v>
      </c>
      <c r="AF10" s="174"/>
      <c r="AG10" s="67"/>
      <c r="AH10" s="67"/>
      <c r="AI10" s="67"/>
      <c r="AJ10" s="67"/>
      <c r="AK10" s="67"/>
      <c r="AL10" s="56"/>
      <c r="AM10" s="56"/>
      <c r="AN10" s="175" t="str">
        <f t="shared" si="6"/>
        <v>-</v>
      </c>
      <c r="AO10" s="184" t="s">
        <v>225</v>
      </c>
      <c r="AP10" s="26" t="str">
        <f t="shared" si="0"/>
        <v>-</v>
      </c>
      <c r="AQ10" s="26" t="str">
        <f t="shared" si="1"/>
        <v>-</v>
      </c>
      <c r="AR10" s="26" t="str">
        <f t="shared" si="2"/>
        <v>-</v>
      </c>
      <c r="AS10" s="185" t="str">
        <f t="shared" si="3"/>
        <v>-</v>
      </c>
      <c r="AT10" s="189"/>
      <c r="AU10" s="35"/>
      <c r="AV10" s="36"/>
      <c r="AW10" s="190"/>
    </row>
    <row r="11" spans="1:49" ht="72.75" customHeight="1" x14ac:dyDescent="0.25">
      <c r="A11" s="565"/>
      <c r="B11" s="556"/>
      <c r="C11" s="556"/>
      <c r="D11" s="556"/>
      <c r="E11" s="556"/>
      <c r="F11" s="557"/>
      <c r="G11" s="89" t="s">
        <v>468</v>
      </c>
      <c r="H11" s="95" t="s">
        <v>469</v>
      </c>
      <c r="I11" s="85" t="s">
        <v>728</v>
      </c>
      <c r="J11" s="85" t="s">
        <v>546</v>
      </c>
      <c r="K11" s="277"/>
      <c r="L11" s="555"/>
      <c r="M11" s="174"/>
      <c r="N11" s="67"/>
      <c r="O11" s="67"/>
      <c r="P11" s="67"/>
      <c r="Q11" s="67"/>
      <c r="R11" s="67" t="s">
        <v>237</v>
      </c>
      <c r="S11" s="67"/>
      <c r="T11" s="56"/>
      <c r="U11" s="56"/>
      <c r="V11" s="175" t="str">
        <f t="shared" si="4"/>
        <v>-</v>
      </c>
      <c r="W11" s="174"/>
      <c r="X11" s="67"/>
      <c r="Y11" s="67"/>
      <c r="Z11" s="67"/>
      <c r="AA11" s="67"/>
      <c r="AB11" s="67"/>
      <c r="AC11" s="56"/>
      <c r="AD11" s="56"/>
      <c r="AE11" s="175" t="str">
        <f t="shared" si="5"/>
        <v>-</v>
      </c>
      <c r="AF11" s="174"/>
      <c r="AG11" s="67"/>
      <c r="AH11" s="67"/>
      <c r="AI11" s="67"/>
      <c r="AJ11" s="67"/>
      <c r="AK11" s="67"/>
      <c r="AL11" s="56"/>
      <c r="AM11" s="56"/>
      <c r="AN11" s="175" t="str">
        <f t="shared" si="6"/>
        <v>-</v>
      </c>
      <c r="AO11" s="184" t="s">
        <v>225</v>
      </c>
      <c r="AP11" s="26" t="str">
        <f t="shared" si="0"/>
        <v>-</v>
      </c>
      <c r="AQ11" s="26" t="str">
        <f t="shared" si="1"/>
        <v>-</v>
      </c>
      <c r="AR11" s="26" t="str">
        <f t="shared" si="2"/>
        <v>-</v>
      </c>
      <c r="AS11" s="185" t="str">
        <f t="shared" si="3"/>
        <v>-</v>
      </c>
      <c r="AT11" s="189"/>
      <c r="AU11" s="35"/>
      <c r="AV11" s="36"/>
      <c r="AW11" s="190"/>
    </row>
    <row r="12" spans="1:49" ht="75" customHeight="1" x14ac:dyDescent="0.25">
      <c r="A12" s="565"/>
      <c r="B12" s="556"/>
      <c r="C12" s="556"/>
      <c r="D12" s="556"/>
      <c r="E12" s="556"/>
      <c r="F12" s="557"/>
      <c r="G12" s="89" t="s">
        <v>470</v>
      </c>
      <c r="H12" s="95" t="s">
        <v>471</v>
      </c>
      <c r="I12" s="157" t="s">
        <v>472</v>
      </c>
      <c r="J12" s="85" t="s">
        <v>546</v>
      </c>
      <c r="K12" s="278"/>
      <c r="L12" s="555"/>
      <c r="M12" s="174" t="s">
        <v>237</v>
      </c>
      <c r="N12" s="67"/>
      <c r="O12" s="67"/>
      <c r="P12" s="67"/>
      <c r="Q12" s="67"/>
      <c r="R12" s="67"/>
      <c r="S12" s="67"/>
      <c r="T12" s="69"/>
      <c r="U12" s="69"/>
      <c r="V12" s="175" t="str">
        <f t="shared" si="4"/>
        <v>-</v>
      </c>
      <c r="W12" s="174"/>
      <c r="X12" s="67"/>
      <c r="Y12" s="67"/>
      <c r="Z12" s="67"/>
      <c r="AA12" s="67"/>
      <c r="AB12" s="67"/>
      <c r="AC12" s="69"/>
      <c r="AD12" s="69"/>
      <c r="AE12" s="175" t="str">
        <f t="shared" si="5"/>
        <v>-</v>
      </c>
      <c r="AF12" s="174"/>
      <c r="AG12" s="67"/>
      <c r="AH12" s="67"/>
      <c r="AI12" s="67"/>
      <c r="AJ12" s="67"/>
      <c r="AK12" s="67"/>
      <c r="AL12" s="69"/>
      <c r="AM12" s="69"/>
      <c r="AN12" s="175" t="str">
        <f t="shared" si="6"/>
        <v>-</v>
      </c>
      <c r="AO12" s="184" t="s">
        <v>225</v>
      </c>
      <c r="AP12" s="26" t="str">
        <f t="shared" si="0"/>
        <v>-</v>
      </c>
      <c r="AQ12" s="26" t="str">
        <f t="shared" si="1"/>
        <v>-</v>
      </c>
      <c r="AR12" s="26" t="str">
        <f t="shared" si="2"/>
        <v>-</v>
      </c>
      <c r="AS12" s="185" t="str">
        <f t="shared" si="3"/>
        <v>-</v>
      </c>
      <c r="AT12" s="189"/>
      <c r="AU12" s="35"/>
      <c r="AV12" s="36"/>
      <c r="AW12" s="190"/>
    </row>
    <row r="13" spans="1:49" ht="72" customHeight="1" x14ac:dyDescent="0.25">
      <c r="A13" s="565"/>
      <c r="B13" s="556"/>
      <c r="C13" s="556"/>
      <c r="D13" s="556"/>
      <c r="E13" s="556"/>
      <c r="F13" s="557"/>
      <c r="G13" s="89" t="s">
        <v>473</v>
      </c>
      <c r="H13" s="95" t="s">
        <v>474</v>
      </c>
      <c r="I13" s="157" t="s">
        <v>477</v>
      </c>
      <c r="J13" s="85" t="s">
        <v>546</v>
      </c>
      <c r="K13" s="278"/>
      <c r="L13" s="555"/>
      <c r="M13" s="174" t="s">
        <v>237</v>
      </c>
      <c r="N13" s="67"/>
      <c r="O13" s="67"/>
      <c r="P13" s="67"/>
      <c r="Q13" s="67"/>
      <c r="R13" s="67"/>
      <c r="S13" s="67"/>
      <c r="T13" s="69"/>
      <c r="U13" s="69"/>
      <c r="V13" s="175" t="str">
        <f t="shared" si="4"/>
        <v>-</v>
      </c>
      <c r="W13" s="174"/>
      <c r="X13" s="67"/>
      <c r="Y13" s="67"/>
      <c r="Z13" s="67"/>
      <c r="AA13" s="67"/>
      <c r="AB13" s="67"/>
      <c r="AC13" s="69"/>
      <c r="AD13" s="69"/>
      <c r="AE13" s="175" t="str">
        <f t="shared" si="5"/>
        <v>-</v>
      </c>
      <c r="AF13" s="174"/>
      <c r="AG13" s="67"/>
      <c r="AH13" s="67"/>
      <c r="AI13" s="67"/>
      <c r="AJ13" s="67"/>
      <c r="AK13" s="67"/>
      <c r="AL13" s="69"/>
      <c r="AM13" s="69"/>
      <c r="AN13" s="175" t="str">
        <f t="shared" si="6"/>
        <v>-</v>
      </c>
      <c r="AO13" s="184" t="s">
        <v>225</v>
      </c>
      <c r="AP13" s="26" t="str">
        <f t="shared" si="0"/>
        <v>-</v>
      </c>
      <c r="AQ13" s="26" t="str">
        <f t="shared" si="1"/>
        <v>-</v>
      </c>
      <c r="AR13" s="26" t="str">
        <f t="shared" si="2"/>
        <v>-</v>
      </c>
      <c r="AS13" s="185" t="str">
        <f t="shared" si="3"/>
        <v>-</v>
      </c>
      <c r="AT13" s="189"/>
      <c r="AU13" s="35"/>
      <c r="AV13" s="36"/>
      <c r="AW13" s="190"/>
    </row>
    <row r="14" spans="1:49" ht="58.5" customHeight="1" x14ac:dyDescent="0.25">
      <c r="A14" s="565"/>
      <c r="B14" s="556"/>
      <c r="C14" s="556"/>
      <c r="D14" s="556"/>
      <c r="E14" s="556"/>
      <c r="F14" s="557"/>
      <c r="G14" s="89" t="s">
        <v>475</v>
      </c>
      <c r="H14" s="95" t="s">
        <v>476</v>
      </c>
      <c r="I14" s="157" t="s">
        <v>478</v>
      </c>
      <c r="J14" s="85" t="s">
        <v>546</v>
      </c>
      <c r="K14" s="278"/>
      <c r="L14" s="555"/>
      <c r="M14" s="174" t="s">
        <v>237</v>
      </c>
      <c r="N14" s="67"/>
      <c r="O14" s="67"/>
      <c r="P14" s="67"/>
      <c r="Q14" s="67"/>
      <c r="R14" s="67"/>
      <c r="S14" s="67"/>
      <c r="T14" s="69"/>
      <c r="U14" s="69"/>
      <c r="V14" s="175" t="str">
        <f t="shared" si="4"/>
        <v>-</v>
      </c>
      <c r="W14" s="174"/>
      <c r="X14" s="67"/>
      <c r="Y14" s="67"/>
      <c r="Z14" s="67"/>
      <c r="AA14" s="67"/>
      <c r="AB14" s="67"/>
      <c r="AC14" s="69"/>
      <c r="AD14" s="69"/>
      <c r="AE14" s="175" t="str">
        <f t="shared" si="5"/>
        <v>-</v>
      </c>
      <c r="AF14" s="174"/>
      <c r="AG14" s="67"/>
      <c r="AH14" s="67"/>
      <c r="AI14" s="67"/>
      <c r="AJ14" s="67"/>
      <c r="AK14" s="67"/>
      <c r="AL14" s="69"/>
      <c r="AM14" s="69"/>
      <c r="AN14" s="175" t="str">
        <f t="shared" si="6"/>
        <v>-</v>
      </c>
      <c r="AO14" s="184" t="s">
        <v>225</v>
      </c>
      <c r="AP14" s="26" t="str">
        <f t="shared" si="0"/>
        <v>-</v>
      </c>
      <c r="AQ14" s="26" t="str">
        <f t="shared" si="1"/>
        <v>-</v>
      </c>
      <c r="AR14" s="26" t="str">
        <f t="shared" si="2"/>
        <v>-</v>
      </c>
      <c r="AS14" s="185" t="str">
        <f t="shared" si="3"/>
        <v>-</v>
      </c>
      <c r="AT14" s="189"/>
      <c r="AU14" s="35"/>
      <c r="AV14" s="36"/>
      <c r="AW14" s="190"/>
    </row>
    <row r="15" spans="1:49" ht="63" customHeight="1" x14ac:dyDescent="0.25">
      <c r="A15" s="565"/>
      <c r="B15" s="556"/>
      <c r="C15" s="556"/>
      <c r="D15" s="556"/>
      <c r="E15" s="556"/>
      <c r="F15" s="557"/>
      <c r="G15" s="89" t="s">
        <v>479</v>
      </c>
      <c r="H15" s="95" t="s">
        <v>480</v>
      </c>
      <c r="I15" s="85" t="s">
        <v>481</v>
      </c>
      <c r="J15" s="85" t="s">
        <v>546</v>
      </c>
      <c r="K15" s="277"/>
      <c r="L15" s="555"/>
      <c r="M15" s="174" t="s">
        <v>237</v>
      </c>
      <c r="N15" s="67"/>
      <c r="O15" s="67"/>
      <c r="P15" s="67"/>
      <c r="Q15" s="67"/>
      <c r="R15" s="67"/>
      <c r="S15" s="67"/>
      <c r="T15" s="69"/>
      <c r="U15" s="69"/>
      <c r="V15" s="175" t="str">
        <f t="shared" si="4"/>
        <v>-</v>
      </c>
      <c r="W15" s="174"/>
      <c r="X15" s="67"/>
      <c r="Y15" s="67"/>
      <c r="Z15" s="67"/>
      <c r="AA15" s="67"/>
      <c r="AB15" s="67"/>
      <c r="AC15" s="69"/>
      <c r="AD15" s="69"/>
      <c r="AE15" s="175" t="str">
        <f t="shared" si="5"/>
        <v>-</v>
      </c>
      <c r="AF15" s="174"/>
      <c r="AG15" s="67"/>
      <c r="AH15" s="67"/>
      <c r="AI15" s="67"/>
      <c r="AJ15" s="67"/>
      <c r="AK15" s="67"/>
      <c r="AL15" s="69"/>
      <c r="AM15" s="69"/>
      <c r="AN15" s="175" t="str">
        <f t="shared" si="6"/>
        <v>-</v>
      </c>
      <c r="AO15" s="184" t="s">
        <v>225</v>
      </c>
      <c r="AP15" s="26" t="str">
        <f t="shared" si="0"/>
        <v>-</v>
      </c>
      <c r="AQ15" s="26" t="str">
        <f t="shared" si="1"/>
        <v>-</v>
      </c>
      <c r="AR15" s="26" t="str">
        <f t="shared" si="2"/>
        <v>-</v>
      </c>
      <c r="AS15" s="185" t="str">
        <f t="shared" si="3"/>
        <v>-</v>
      </c>
      <c r="AT15" s="189"/>
      <c r="AU15" s="35"/>
      <c r="AV15" s="36"/>
      <c r="AW15" s="190"/>
    </row>
    <row r="16" spans="1:49" ht="54" customHeight="1" x14ac:dyDescent="0.25">
      <c r="A16" s="565"/>
      <c r="B16" s="556"/>
      <c r="C16" s="556"/>
      <c r="D16" s="556"/>
      <c r="E16" s="556"/>
      <c r="F16" s="557"/>
      <c r="G16" s="89" t="s">
        <v>482</v>
      </c>
      <c r="H16" s="95" t="s">
        <v>483</v>
      </c>
      <c r="I16" s="85" t="s">
        <v>481</v>
      </c>
      <c r="J16" s="85" t="s">
        <v>546</v>
      </c>
      <c r="K16" s="277"/>
      <c r="L16" s="555"/>
      <c r="M16" s="174" t="s">
        <v>237</v>
      </c>
      <c r="N16" s="67"/>
      <c r="O16" s="67"/>
      <c r="P16" s="280"/>
      <c r="Q16" s="67"/>
      <c r="R16" s="67"/>
      <c r="S16" s="67"/>
      <c r="T16" s="69"/>
      <c r="U16" s="69"/>
      <c r="V16" s="175" t="str">
        <f t="shared" si="4"/>
        <v>-</v>
      </c>
      <c r="W16" s="174"/>
      <c r="X16" s="67"/>
      <c r="Y16" s="67"/>
      <c r="Z16" s="67"/>
      <c r="AA16" s="67"/>
      <c r="AB16" s="67"/>
      <c r="AC16" s="69"/>
      <c r="AD16" s="69"/>
      <c r="AE16" s="175" t="str">
        <f t="shared" si="5"/>
        <v>-</v>
      </c>
      <c r="AF16" s="174"/>
      <c r="AG16" s="67"/>
      <c r="AH16" s="67"/>
      <c r="AI16" s="67"/>
      <c r="AJ16" s="67"/>
      <c r="AK16" s="67"/>
      <c r="AL16" s="69"/>
      <c r="AM16" s="69"/>
      <c r="AN16" s="175" t="str">
        <f t="shared" si="6"/>
        <v>-</v>
      </c>
      <c r="AO16" s="184" t="s">
        <v>225</v>
      </c>
      <c r="AP16" s="26" t="str">
        <f t="shared" si="0"/>
        <v>-</v>
      </c>
      <c r="AQ16" s="26" t="str">
        <f t="shared" si="1"/>
        <v>-</v>
      </c>
      <c r="AR16" s="26" t="str">
        <f t="shared" si="2"/>
        <v>-</v>
      </c>
      <c r="AS16" s="185" t="str">
        <f t="shared" si="3"/>
        <v>-</v>
      </c>
      <c r="AT16" s="189"/>
      <c r="AU16" s="35"/>
      <c r="AV16" s="36"/>
      <c r="AW16" s="190"/>
    </row>
    <row r="17" spans="1:49" ht="82.5" customHeight="1" x14ac:dyDescent="0.25">
      <c r="A17" s="565"/>
      <c r="B17" s="556"/>
      <c r="C17" s="556"/>
      <c r="D17" s="556"/>
      <c r="E17" s="556"/>
      <c r="F17" s="557"/>
      <c r="G17" s="166" t="s">
        <v>484</v>
      </c>
      <c r="H17" s="165" t="s">
        <v>485</v>
      </c>
      <c r="I17" s="157" t="s">
        <v>729</v>
      </c>
      <c r="J17" s="85" t="s">
        <v>546</v>
      </c>
      <c r="K17" s="277"/>
      <c r="L17" s="555"/>
      <c r="M17" s="174"/>
      <c r="N17" s="67"/>
      <c r="O17" s="67" t="s">
        <v>237</v>
      </c>
      <c r="P17" s="67"/>
      <c r="Q17" s="67"/>
      <c r="R17" s="67"/>
      <c r="S17" s="67"/>
      <c r="T17" s="69"/>
      <c r="U17" s="69"/>
      <c r="V17" s="175" t="str">
        <f t="shared" si="4"/>
        <v>-</v>
      </c>
      <c r="W17" s="174"/>
      <c r="X17" s="67"/>
      <c r="Y17" s="67"/>
      <c r="Z17" s="67"/>
      <c r="AA17" s="67"/>
      <c r="AB17" s="67"/>
      <c r="AC17" s="69"/>
      <c r="AD17" s="69"/>
      <c r="AE17" s="175" t="str">
        <f t="shared" si="5"/>
        <v>-</v>
      </c>
      <c r="AF17" s="174"/>
      <c r="AG17" s="67"/>
      <c r="AH17" s="67"/>
      <c r="AI17" s="67"/>
      <c r="AJ17" s="67"/>
      <c r="AK17" s="67"/>
      <c r="AL17" s="69"/>
      <c r="AM17" s="69"/>
      <c r="AN17" s="175" t="str">
        <f t="shared" si="6"/>
        <v>-</v>
      </c>
      <c r="AO17" s="184" t="s">
        <v>225</v>
      </c>
      <c r="AP17" s="26" t="str">
        <f t="shared" si="0"/>
        <v>-</v>
      </c>
      <c r="AQ17" s="26" t="str">
        <f t="shared" si="1"/>
        <v>-</v>
      </c>
      <c r="AR17" s="26" t="str">
        <f t="shared" si="2"/>
        <v>-</v>
      </c>
      <c r="AS17" s="185" t="str">
        <f t="shared" si="3"/>
        <v>-</v>
      </c>
      <c r="AT17" s="189"/>
      <c r="AU17" s="35"/>
      <c r="AV17" s="36"/>
      <c r="AW17" s="190"/>
    </row>
    <row r="18" spans="1:49" ht="87.75" customHeight="1" x14ac:dyDescent="0.25">
      <c r="A18" s="565"/>
      <c r="B18" s="556"/>
      <c r="C18" s="556"/>
      <c r="D18" s="556"/>
      <c r="E18" s="556"/>
      <c r="F18" s="557"/>
      <c r="G18" s="89" t="s">
        <v>486</v>
      </c>
      <c r="H18" s="95" t="s">
        <v>620</v>
      </c>
      <c r="I18" s="85" t="s">
        <v>730</v>
      </c>
      <c r="J18" s="85" t="s">
        <v>546</v>
      </c>
      <c r="K18" s="277"/>
      <c r="L18" s="555"/>
      <c r="M18" s="174"/>
      <c r="N18" s="67"/>
      <c r="O18" s="67" t="s">
        <v>237</v>
      </c>
      <c r="P18" s="67"/>
      <c r="Q18" s="67"/>
      <c r="R18" s="67"/>
      <c r="S18" s="67"/>
      <c r="T18" s="69"/>
      <c r="U18" s="69"/>
      <c r="V18" s="175" t="str">
        <f t="shared" si="4"/>
        <v>-</v>
      </c>
      <c r="W18" s="174"/>
      <c r="X18" s="67"/>
      <c r="Y18" s="67"/>
      <c r="Z18" s="67"/>
      <c r="AA18" s="67"/>
      <c r="AB18" s="67"/>
      <c r="AC18" s="69"/>
      <c r="AD18" s="69"/>
      <c r="AE18" s="175" t="str">
        <f t="shared" si="5"/>
        <v>-</v>
      </c>
      <c r="AF18" s="174"/>
      <c r="AG18" s="67"/>
      <c r="AH18" s="67"/>
      <c r="AI18" s="67"/>
      <c r="AJ18" s="67"/>
      <c r="AK18" s="67"/>
      <c r="AL18" s="69"/>
      <c r="AM18" s="69"/>
      <c r="AN18" s="175" t="str">
        <f t="shared" si="6"/>
        <v>-</v>
      </c>
      <c r="AO18" s="184" t="s">
        <v>225</v>
      </c>
      <c r="AP18" s="26" t="str">
        <f t="shared" si="0"/>
        <v>-</v>
      </c>
      <c r="AQ18" s="26" t="str">
        <f t="shared" si="1"/>
        <v>-</v>
      </c>
      <c r="AR18" s="26" t="str">
        <f t="shared" si="2"/>
        <v>-</v>
      </c>
      <c r="AS18" s="185" t="str">
        <f t="shared" si="3"/>
        <v>-</v>
      </c>
      <c r="AT18" s="189"/>
      <c r="AU18" s="35"/>
      <c r="AV18" s="36"/>
      <c r="AW18" s="190"/>
    </row>
    <row r="19" spans="1:49" ht="57" customHeight="1" x14ac:dyDescent="0.25">
      <c r="A19" s="565"/>
      <c r="B19" s="556"/>
      <c r="C19" s="556"/>
      <c r="D19" s="556"/>
      <c r="E19" s="556"/>
      <c r="F19" s="557"/>
      <c r="G19" s="89" t="s">
        <v>487</v>
      </c>
      <c r="H19" s="95" t="s">
        <v>488</v>
      </c>
      <c r="I19" s="85" t="s">
        <v>489</v>
      </c>
      <c r="J19" s="85" t="s">
        <v>559</v>
      </c>
      <c r="K19" s="277"/>
      <c r="L19" s="555"/>
      <c r="M19" s="174"/>
      <c r="N19" s="67"/>
      <c r="O19" s="67" t="s">
        <v>237</v>
      </c>
      <c r="P19" s="67"/>
      <c r="Q19" s="67"/>
      <c r="R19" s="67"/>
      <c r="S19" s="67"/>
      <c r="T19" s="69"/>
      <c r="U19" s="69"/>
      <c r="V19" s="175" t="str">
        <f t="shared" si="4"/>
        <v>-</v>
      </c>
      <c r="W19" s="174"/>
      <c r="X19" s="67"/>
      <c r="Y19" s="67"/>
      <c r="Z19" s="67"/>
      <c r="AA19" s="67"/>
      <c r="AB19" s="67"/>
      <c r="AC19" s="69"/>
      <c r="AD19" s="69"/>
      <c r="AE19" s="175" t="str">
        <f t="shared" si="5"/>
        <v>-</v>
      </c>
      <c r="AF19" s="174"/>
      <c r="AG19" s="67"/>
      <c r="AH19" s="67"/>
      <c r="AI19" s="67"/>
      <c r="AJ19" s="67"/>
      <c r="AK19" s="67"/>
      <c r="AL19" s="69"/>
      <c r="AM19" s="69"/>
      <c r="AN19" s="175" t="str">
        <f t="shared" si="6"/>
        <v>-</v>
      </c>
      <c r="AO19" s="184" t="s">
        <v>225</v>
      </c>
      <c r="AP19" s="26" t="str">
        <f t="shared" si="0"/>
        <v>-</v>
      </c>
      <c r="AQ19" s="26" t="str">
        <f t="shared" si="1"/>
        <v>-</v>
      </c>
      <c r="AR19" s="26" t="str">
        <f t="shared" si="2"/>
        <v>-</v>
      </c>
      <c r="AS19" s="185" t="str">
        <f t="shared" si="3"/>
        <v>-</v>
      </c>
      <c r="AT19" s="189"/>
      <c r="AU19" s="35"/>
      <c r="AV19" s="36"/>
      <c r="AW19" s="190"/>
    </row>
    <row r="20" spans="1:49" ht="72" customHeight="1" x14ac:dyDescent="0.25">
      <c r="A20" s="565"/>
      <c r="B20" s="556"/>
      <c r="C20" s="556"/>
      <c r="D20" s="556"/>
      <c r="E20" s="556"/>
      <c r="F20" s="557"/>
      <c r="G20" s="89" t="s">
        <v>490</v>
      </c>
      <c r="H20" s="95" t="s">
        <v>491</v>
      </c>
      <c r="I20" s="85">
        <v>1</v>
      </c>
      <c r="J20" s="85" t="s">
        <v>546</v>
      </c>
      <c r="K20" s="277"/>
      <c r="L20" s="555"/>
      <c r="M20" s="174" t="s">
        <v>237</v>
      </c>
      <c r="N20" s="67"/>
      <c r="O20" s="67"/>
      <c r="P20" s="67"/>
      <c r="Q20" s="67"/>
      <c r="R20" s="67"/>
      <c r="S20" s="67"/>
      <c r="T20" s="69"/>
      <c r="U20" s="69"/>
      <c r="V20" s="175" t="str">
        <f t="shared" si="4"/>
        <v>-</v>
      </c>
      <c r="W20" s="174"/>
      <c r="X20" s="67"/>
      <c r="Y20" s="67"/>
      <c r="Z20" s="67"/>
      <c r="AA20" s="67"/>
      <c r="AB20" s="67"/>
      <c r="AC20" s="69"/>
      <c r="AD20" s="69"/>
      <c r="AE20" s="175" t="str">
        <f t="shared" si="5"/>
        <v>-</v>
      </c>
      <c r="AF20" s="174"/>
      <c r="AG20" s="67"/>
      <c r="AH20" s="67"/>
      <c r="AI20" s="67"/>
      <c r="AJ20" s="67"/>
      <c r="AK20" s="67"/>
      <c r="AL20" s="69"/>
      <c r="AM20" s="69"/>
      <c r="AN20" s="175" t="str">
        <f t="shared" si="6"/>
        <v>-</v>
      </c>
      <c r="AO20" s="184" t="s">
        <v>225</v>
      </c>
      <c r="AP20" s="26" t="str">
        <f t="shared" si="0"/>
        <v>-</v>
      </c>
      <c r="AQ20" s="26" t="str">
        <f t="shared" si="1"/>
        <v>-</v>
      </c>
      <c r="AR20" s="26" t="str">
        <f t="shared" si="2"/>
        <v>-</v>
      </c>
      <c r="AS20" s="185" t="str">
        <f t="shared" si="3"/>
        <v>-</v>
      </c>
      <c r="AT20" s="189"/>
      <c r="AU20" s="35"/>
      <c r="AV20" s="36"/>
      <c r="AW20" s="190"/>
    </row>
    <row r="21" spans="1:49" ht="63.75" customHeight="1" x14ac:dyDescent="0.25">
      <c r="A21" s="565"/>
      <c r="B21" s="556"/>
      <c r="C21" s="556"/>
      <c r="D21" s="556"/>
      <c r="E21" s="556"/>
      <c r="F21" s="557"/>
      <c r="G21" s="89" t="s">
        <v>492</v>
      </c>
      <c r="H21" s="95" t="s">
        <v>493</v>
      </c>
      <c r="I21" s="85" t="s">
        <v>481</v>
      </c>
      <c r="J21" s="85" t="s">
        <v>546</v>
      </c>
      <c r="K21" s="277"/>
      <c r="L21" s="555"/>
      <c r="M21" s="174" t="s">
        <v>237</v>
      </c>
      <c r="N21" s="67"/>
      <c r="O21" s="67"/>
      <c r="P21" s="67"/>
      <c r="Q21" s="67"/>
      <c r="R21" s="67"/>
      <c r="S21" s="67"/>
      <c r="T21" s="69"/>
      <c r="U21" s="69"/>
      <c r="V21" s="175" t="str">
        <f t="shared" si="4"/>
        <v>-</v>
      </c>
      <c r="W21" s="174"/>
      <c r="X21" s="67"/>
      <c r="Y21" s="67"/>
      <c r="Z21" s="67"/>
      <c r="AA21" s="67"/>
      <c r="AB21" s="67"/>
      <c r="AC21" s="69"/>
      <c r="AD21" s="69"/>
      <c r="AE21" s="175" t="str">
        <f t="shared" si="5"/>
        <v>-</v>
      </c>
      <c r="AF21" s="174"/>
      <c r="AG21" s="67"/>
      <c r="AH21" s="67"/>
      <c r="AI21" s="67"/>
      <c r="AJ21" s="67"/>
      <c r="AK21" s="67"/>
      <c r="AL21" s="69"/>
      <c r="AM21" s="69"/>
      <c r="AN21" s="175" t="str">
        <f t="shared" si="6"/>
        <v>-</v>
      </c>
      <c r="AO21" s="184" t="s">
        <v>225</v>
      </c>
      <c r="AP21" s="26" t="str">
        <f t="shared" si="0"/>
        <v>-</v>
      </c>
      <c r="AQ21" s="26" t="str">
        <f t="shared" si="1"/>
        <v>-</v>
      </c>
      <c r="AR21" s="26" t="str">
        <f t="shared" si="2"/>
        <v>-</v>
      </c>
      <c r="AS21" s="185" t="str">
        <f t="shared" si="3"/>
        <v>-</v>
      </c>
      <c r="AT21" s="189"/>
      <c r="AU21" s="35"/>
      <c r="AV21" s="36"/>
      <c r="AW21" s="190"/>
    </row>
    <row r="22" spans="1:49" ht="109.5" customHeight="1" x14ac:dyDescent="0.25">
      <c r="A22" s="565"/>
      <c r="B22" s="556"/>
      <c r="C22" s="556"/>
      <c r="D22" s="556"/>
      <c r="E22" s="556"/>
      <c r="F22" s="557"/>
      <c r="G22" s="89" t="s">
        <v>494</v>
      </c>
      <c r="H22" s="95" t="s">
        <v>495</v>
      </c>
      <c r="I22" s="85" t="s">
        <v>481</v>
      </c>
      <c r="J22" s="85" t="s">
        <v>547</v>
      </c>
      <c r="K22" s="277"/>
      <c r="L22" s="555"/>
      <c r="M22" s="174"/>
      <c r="N22" s="67"/>
      <c r="O22" s="67"/>
      <c r="P22" s="67"/>
      <c r="Q22" s="67" t="s">
        <v>237</v>
      </c>
      <c r="R22" s="67"/>
      <c r="S22" s="67"/>
      <c r="T22" s="69"/>
      <c r="U22" s="69"/>
      <c r="V22" s="175" t="str">
        <f t="shared" si="4"/>
        <v>-</v>
      </c>
      <c r="W22" s="174"/>
      <c r="X22" s="67"/>
      <c r="Y22" s="67"/>
      <c r="Z22" s="67"/>
      <c r="AA22" s="67"/>
      <c r="AB22" s="67"/>
      <c r="AC22" s="69"/>
      <c r="AD22" s="69"/>
      <c r="AE22" s="175" t="str">
        <f t="shared" si="5"/>
        <v>-</v>
      </c>
      <c r="AF22" s="174"/>
      <c r="AG22" s="67"/>
      <c r="AH22" s="67"/>
      <c r="AI22" s="67"/>
      <c r="AJ22" s="67"/>
      <c r="AK22" s="67"/>
      <c r="AL22" s="69"/>
      <c r="AM22" s="69"/>
      <c r="AN22" s="175" t="str">
        <f t="shared" si="6"/>
        <v>-</v>
      </c>
      <c r="AO22" s="184" t="s">
        <v>225</v>
      </c>
      <c r="AP22" s="26" t="str">
        <f t="shared" si="0"/>
        <v>-</v>
      </c>
      <c r="AQ22" s="26" t="str">
        <f t="shared" si="1"/>
        <v>-</v>
      </c>
      <c r="AR22" s="26" t="str">
        <f t="shared" si="2"/>
        <v>-</v>
      </c>
      <c r="AS22" s="185" t="str">
        <f t="shared" si="3"/>
        <v>-</v>
      </c>
      <c r="AT22" s="189"/>
      <c r="AU22" s="35"/>
      <c r="AV22" s="36"/>
      <c r="AW22" s="190"/>
    </row>
    <row r="23" spans="1:49" ht="75" customHeight="1" x14ac:dyDescent="0.25">
      <c r="A23" s="565"/>
      <c r="B23" s="506"/>
      <c r="C23" s="556"/>
      <c r="D23" s="556"/>
      <c r="E23" s="556"/>
      <c r="F23" s="557"/>
      <c r="G23" s="89" t="s">
        <v>496</v>
      </c>
      <c r="H23" s="95" t="s">
        <v>497</v>
      </c>
      <c r="I23" s="158">
        <v>1</v>
      </c>
      <c r="J23" s="158" t="s">
        <v>549</v>
      </c>
      <c r="K23" s="279"/>
      <c r="L23" s="555"/>
      <c r="M23" s="174"/>
      <c r="N23" s="7"/>
      <c r="O23" s="7"/>
      <c r="P23" s="7"/>
      <c r="Q23" s="7" t="s">
        <v>237</v>
      </c>
      <c r="R23" s="7"/>
      <c r="S23" s="7"/>
      <c r="T23" s="69"/>
      <c r="U23" s="69"/>
      <c r="V23" s="175" t="str">
        <f t="shared" si="4"/>
        <v>-</v>
      </c>
      <c r="W23" s="174"/>
      <c r="X23" s="7"/>
      <c r="Y23" s="7"/>
      <c r="Z23" s="7"/>
      <c r="AA23" s="7"/>
      <c r="AB23" s="7"/>
      <c r="AC23" s="69"/>
      <c r="AD23" s="69"/>
      <c r="AE23" s="175" t="str">
        <f t="shared" si="5"/>
        <v>-</v>
      </c>
      <c r="AF23" s="174"/>
      <c r="AG23" s="7"/>
      <c r="AH23" s="7"/>
      <c r="AI23" s="7"/>
      <c r="AJ23" s="7"/>
      <c r="AK23" s="7"/>
      <c r="AL23" s="69"/>
      <c r="AM23" s="69"/>
      <c r="AN23" s="175" t="str">
        <f t="shared" si="6"/>
        <v>-</v>
      </c>
      <c r="AO23" s="184" t="s">
        <v>225</v>
      </c>
      <c r="AP23" s="26" t="str">
        <f>IFERROR((V23*100%)/$I$23,"-")</f>
        <v>-</v>
      </c>
      <c r="AQ23" s="26" t="str">
        <f>IFERROR((AE23*100%)/$I$23,"-")</f>
        <v>-</v>
      </c>
      <c r="AR23" s="26" t="str">
        <f>IFERROR((AN23*100%)/$I$23,"-")</f>
        <v>-</v>
      </c>
      <c r="AS23" s="185" t="str">
        <f t="shared" ref="AS23:AS28" si="7">IFERROR(AVERAGE(AO23:AR23),"-")</f>
        <v>-</v>
      </c>
      <c r="AT23" s="191"/>
      <c r="AU23" s="30"/>
      <c r="AV23" s="28"/>
      <c r="AW23" s="192"/>
    </row>
    <row r="24" spans="1:49" ht="75" customHeight="1" x14ac:dyDescent="0.25">
      <c r="A24" s="565"/>
      <c r="B24" s="506"/>
      <c r="C24" s="556"/>
      <c r="D24" s="556"/>
      <c r="E24" s="556"/>
      <c r="F24" s="557"/>
      <c r="G24" s="89" t="s">
        <v>498</v>
      </c>
      <c r="H24" s="95" t="s">
        <v>499</v>
      </c>
      <c r="I24" s="158">
        <v>1</v>
      </c>
      <c r="J24" s="158" t="s">
        <v>547</v>
      </c>
      <c r="K24" s="279"/>
      <c r="L24" s="555"/>
      <c r="M24" s="174"/>
      <c r="N24" s="56"/>
      <c r="O24" s="7"/>
      <c r="P24" s="7"/>
      <c r="Q24" s="7" t="s">
        <v>237</v>
      </c>
      <c r="R24" s="7"/>
      <c r="S24" s="7"/>
      <c r="T24" s="69"/>
      <c r="U24" s="69"/>
      <c r="V24" s="175" t="str">
        <f t="shared" si="4"/>
        <v>-</v>
      </c>
      <c r="W24" s="174"/>
      <c r="X24" s="56"/>
      <c r="Y24" s="7"/>
      <c r="Z24" s="7"/>
      <c r="AA24" s="7"/>
      <c r="AB24" s="7"/>
      <c r="AC24" s="69"/>
      <c r="AD24" s="69"/>
      <c r="AE24" s="175" t="str">
        <f t="shared" si="5"/>
        <v>-</v>
      </c>
      <c r="AF24" s="174"/>
      <c r="AG24" s="56"/>
      <c r="AH24" s="7"/>
      <c r="AI24" s="7"/>
      <c r="AJ24" s="7"/>
      <c r="AK24" s="7"/>
      <c r="AL24" s="69"/>
      <c r="AM24" s="69"/>
      <c r="AN24" s="175" t="str">
        <f t="shared" si="6"/>
        <v>-</v>
      </c>
      <c r="AO24" s="184" t="s">
        <v>225</v>
      </c>
      <c r="AP24" s="26" t="str">
        <f>IFERROR((V24*100%)/$I$24,"-")</f>
        <v>-</v>
      </c>
      <c r="AQ24" s="26" t="str">
        <f>IFERROR((AE24*100%)/$I$24,"-")</f>
        <v>-</v>
      </c>
      <c r="AR24" s="26" t="str">
        <f>IFERROR((AN24*100%)/$I$24,"-")</f>
        <v>-</v>
      </c>
      <c r="AS24" s="185" t="str">
        <f t="shared" si="7"/>
        <v>-</v>
      </c>
      <c r="AT24" s="191"/>
      <c r="AU24" s="30"/>
      <c r="AV24" s="28"/>
      <c r="AW24" s="220"/>
    </row>
    <row r="25" spans="1:49" ht="66.75" customHeight="1" x14ac:dyDescent="0.25">
      <c r="A25" s="565"/>
      <c r="B25" s="506"/>
      <c r="C25" s="556"/>
      <c r="D25" s="556"/>
      <c r="E25" s="556"/>
      <c r="F25" s="557"/>
      <c r="G25" s="89" t="s">
        <v>500</v>
      </c>
      <c r="H25" s="95" t="s">
        <v>501</v>
      </c>
      <c r="I25" s="158">
        <v>1</v>
      </c>
      <c r="J25" s="158" t="s">
        <v>546</v>
      </c>
      <c r="K25" s="279"/>
      <c r="L25" s="555"/>
      <c r="M25" s="174" t="s">
        <v>237</v>
      </c>
      <c r="N25" s="56"/>
      <c r="O25" s="56"/>
      <c r="P25" s="7"/>
      <c r="Q25" s="7"/>
      <c r="R25" s="7"/>
      <c r="S25" s="7"/>
      <c r="T25" s="69"/>
      <c r="U25" s="69"/>
      <c r="V25" s="175" t="str">
        <f t="shared" si="4"/>
        <v>-</v>
      </c>
      <c r="W25" s="174"/>
      <c r="X25" s="56"/>
      <c r="Y25" s="56"/>
      <c r="Z25" s="7"/>
      <c r="AA25" s="7"/>
      <c r="AB25" s="7"/>
      <c r="AC25" s="69"/>
      <c r="AD25" s="69"/>
      <c r="AE25" s="175" t="str">
        <f t="shared" si="5"/>
        <v>-</v>
      </c>
      <c r="AF25" s="174"/>
      <c r="AG25" s="56"/>
      <c r="AH25" s="56"/>
      <c r="AI25" s="7"/>
      <c r="AJ25" s="7"/>
      <c r="AK25" s="7"/>
      <c r="AL25" s="69"/>
      <c r="AM25" s="69"/>
      <c r="AN25" s="175" t="str">
        <f t="shared" si="6"/>
        <v>-</v>
      </c>
      <c r="AO25" s="184" t="s">
        <v>225</v>
      </c>
      <c r="AP25" s="26" t="str">
        <f>IFERROR((V25*100%)/$I$25,"-")</f>
        <v>-</v>
      </c>
      <c r="AQ25" s="26" t="str">
        <f>IFERROR((AE25*100%)/$I$25,"-")</f>
        <v>-</v>
      </c>
      <c r="AR25" s="26" t="str">
        <f>IFERROR((AN25*100%)/$I$25,"-")</f>
        <v>-</v>
      </c>
      <c r="AS25" s="185" t="str">
        <f t="shared" si="7"/>
        <v>-</v>
      </c>
      <c r="AT25" s="191"/>
      <c r="AU25" s="30"/>
      <c r="AV25" s="28"/>
      <c r="AW25" s="220"/>
    </row>
    <row r="26" spans="1:49" ht="66.75" customHeight="1" x14ac:dyDescent="0.25">
      <c r="A26" s="379"/>
      <c r="B26" s="377"/>
      <c r="C26" s="380"/>
      <c r="D26" s="380"/>
      <c r="E26" s="380"/>
      <c r="F26" s="381"/>
      <c r="G26" s="383" t="s">
        <v>731</v>
      </c>
      <c r="H26" s="96" t="s">
        <v>735</v>
      </c>
      <c r="I26" s="384" t="s">
        <v>733</v>
      </c>
      <c r="J26" s="158" t="s">
        <v>546</v>
      </c>
      <c r="K26" s="371"/>
      <c r="L26" s="382"/>
      <c r="M26" s="378"/>
      <c r="N26" s="56"/>
      <c r="O26" s="56"/>
      <c r="P26" s="7" t="s">
        <v>237</v>
      </c>
      <c r="Q26" s="7"/>
      <c r="R26" s="7"/>
      <c r="S26" s="7"/>
      <c r="T26" s="70"/>
      <c r="U26" s="70"/>
      <c r="V26" s="175" t="str">
        <f t="shared" si="4"/>
        <v>-</v>
      </c>
      <c r="W26" s="298"/>
      <c r="X26" s="299"/>
      <c r="Y26" s="299"/>
      <c r="Z26" s="300"/>
      <c r="AA26" s="300"/>
      <c r="AB26" s="300"/>
      <c r="AC26" s="199"/>
      <c r="AD26" s="69"/>
      <c r="AE26" s="175" t="str">
        <f t="shared" si="5"/>
        <v>-</v>
      </c>
      <c r="AF26" s="298"/>
      <c r="AG26" s="299"/>
      <c r="AH26" s="299"/>
      <c r="AI26" s="300"/>
      <c r="AJ26" s="300"/>
      <c r="AK26" s="300"/>
      <c r="AL26" s="199"/>
      <c r="AM26" s="69"/>
      <c r="AN26" s="175" t="str">
        <f t="shared" si="6"/>
        <v>-</v>
      </c>
      <c r="AO26" s="184" t="s">
        <v>225</v>
      </c>
      <c r="AP26" s="26" t="str">
        <f>IFERROR((V26*100%)/$I$25,"-")</f>
        <v>-</v>
      </c>
      <c r="AQ26" s="26" t="str">
        <f>IFERROR((AE26*100%)/$I$25,"-")</f>
        <v>-</v>
      </c>
      <c r="AR26" s="26" t="str">
        <f>IFERROR((AN26*100%)/$I$25,"-")</f>
        <v>-</v>
      </c>
      <c r="AS26" s="185" t="str">
        <f t="shared" si="7"/>
        <v>-</v>
      </c>
      <c r="AT26" s="301"/>
      <c r="AU26" s="302"/>
      <c r="AV26" s="303"/>
      <c r="AW26" s="304"/>
    </row>
    <row r="27" spans="1:49" ht="108" customHeight="1" x14ac:dyDescent="0.25">
      <c r="A27" s="379"/>
      <c r="B27" s="377"/>
      <c r="C27" s="380"/>
      <c r="D27" s="380"/>
      <c r="E27" s="380"/>
      <c r="F27" s="381"/>
      <c r="G27" s="383" t="s">
        <v>732</v>
      </c>
      <c r="H27" s="96" t="s">
        <v>497</v>
      </c>
      <c r="I27" s="384" t="s">
        <v>734</v>
      </c>
      <c r="J27" s="158" t="s">
        <v>546</v>
      </c>
      <c r="K27" s="371"/>
      <c r="L27" s="382"/>
      <c r="M27" s="378"/>
      <c r="N27" s="56"/>
      <c r="O27" s="56"/>
      <c r="P27" s="7" t="s">
        <v>237</v>
      </c>
      <c r="Q27" s="7"/>
      <c r="R27" s="7"/>
      <c r="S27" s="7"/>
      <c r="T27" s="70"/>
      <c r="U27" s="70"/>
      <c r="V27" s="175" t="str">
        <f t="shared" si="4"/>
        <v>-</v>
      </c>
      <c r="W27" s="298"/>
      <c r="X27" s="299"/>
      <c r="Y27" s="299"/>
      <c r="Z27" s="300"/>
      <c r="AA27" s="300"/>
      <c r="AB27" s="300"/>
      <c r="AC27" s="199"/>
      <c r="AD27" s="69"/>
      <c r="AE27" s="175" t="str">
        <f t="shared" si="5"/>
        <v>-</v>
      </c>
      <c r="AF27" s="298"/>
      <c r="AG27" s="299"/>
      <c r="AH27" s="299"/>
      <c r="AI27" s="300"/>
      <c r="AJ27" s="300"/>
      <c r="AK27" s="300"/>
      <c r="AL27" s="199"/>
      <c r="AM27" s="69"/>
      <c r="AN27" s="175" t="str">
        <f t="shared" si="6"/>
        <v>-</v>
      </c>
      <c r="AO27" s="184" t="s">
        <v>225</v>
      </c>
      <c r="AP27" s="26" t="str">
        <f>IFERROR((V27*100%)/$I$25,"-")</f>
        <v>-</v>
      </c>
      <c r="AQ27" s="26" t="str">
        <f>IFERROR((AE27*100%)/$I$25,"-")</f>
        <v>-</v>
      </c>
      <c r="AR27" s="26" t="str">
        <f>IFERROR((AN27*100%)/$I$25,"-")</f>
        <v>-</v>
      </c>
      <c r="AS27" s="185" t="str">
        <f t="shared" si="7"/>
        <v>-</v>
      </c>
      <c r="AT27" s="301"/>
      <c r="AU27" s="302"/>
      <c r="AV27" s="303"/>
      <c r="AW27" s="304"/>
    </row>
    <row r="28" spans="1:49" ht="66.75" customHeight="1" x14ac:dyDescent="0.25">
      <c r="A28" s="294"/>
      <c r="B28" s="293"/>
      <c r="C28" s="295"/>
      <c r="D28" s="295"/>
      <c r="E28" s="295"/>
      <c r="F28" s="296"/>
      <c r="G28" s="357" t="s">
        <v>688</v>
      </c>
      <c r="H28" s="358" t="s">
        <v>39</v>
      </c>
      <c r="I28" s="359" t="s">
        <v>728</v>
      </c>
      <c r="J28" s="158" t="s">
        <v>546</v>
      </c>
      <c r="K28" s="371"/>
      <c r="L28" s="297"/>
      <c r="M28" s="560" t="s">
        <v>689</v>
      </c>
      <c r="N28" s="561"/>
      <c r="O28" s="561"/>
      <c r="P28" s="561"/>
      <c r="Q28" s="561"/>
      <c r="R28" s="561"/>
      <c r="S28" s="561"/>
      <c r="T28" s="561"/>
      <c r="U28" s="562"/>
      <c r="V28" s="175" t="str">
        <f>IFERROR(AVERAGE(V7:V25),"-")</f>
        <v>-</v>
      </c>
      <c r="W28" s="298"/>
      <c r="X28" s="299"/>
      <c r="Y28" s="299"/>
      <c r="Z28" s="300"/>
      <c r="AA28" s="300"/>
      <c r="AB28" s="300"/>
      <c r="AC28" s="199"/>
      <c r="AD28" s="69"/>
      <c r="AE28" s="175" t="str">
        <f t="shared" si="5"/>
        <v>-</v>
      </c>
      <c r="AF28" s="298"/>
      <c r="AG28" s="299"/>
      <c r="AH28" s="299"/>
      <c r="AI28" s="300"/>
      <c r="AJ28" s="300"/>
      <c r="AK28" s="300"/>
      <c r="AL28" s="199"/>
      <c r="AM28" s="69"/>
      <c r="AN28" s="175" t="str">
        <f t="shared" si="6"/>
        <v>-</v>
      </c>
      <c r="AO28" s="184" t="s">
        <v>225</v>
      </c>
      <c r="AP28" s="26" t="str">
        <f>IFERROR((V28*100%)/$I$25,"-")</f>
        <v>-</v>
      </c>
      <c r="AQ28" s="26" t="str">
        <f>IFERROR((AE28*100%)/$I$25,"-")</f>
        <v>-</v>
      </c>
      <c r="AR28" s="26" t="str">
        <f>IFERROR((AN28*100%)/$I$25,"-")</f>
        <v>-</v>
      </c>
      <c r="AS28" s="185" t="str">
        <f t="shared" si="7"/>
        <v>-</v>
      </c>
      <c r="AT28" s="301"/>
      <c r="AU28" s="302"/>
      <c r="AV28" s="303"/>
      <c r="AW28" s="304"/>
    </row>
    <row r="29" spans="1:49" ht="27" customHeight="1" thickBot="1" x14ac:dyDescent="0.3">
      <c r="A29" s="501" t="s">
        <v>293</v>
      </c>
      <c r="B29" s="502"/>
      <c r="C29" s="502"/>
      <c r="D29" s="502"/>
      <c r="E29" s="502"/>
      <c r="F29" s="502"/>
      <c r="G29" s="502"/>
      <c r="H29" s="502"/>
      <c r="I29" s="502"/>
      <c r="J29" s="502"/>
      <c r="K29" s="503"/>
      <c r="L29" s="504"/>
      <c r="M29" s="198" t="str">
        <f t="shared" ref="M29:S29" si="8">IFERROR(AVERAGE(M7:M25),"-")</f>
        <v>-</v>
      </c>
      <c r="N29" s="199" t="str">
        <f t="shared" si="8"/>
        <v>-</v>
      </c>
      <c r="O29" s="199" t="str">
        <f t="shared" si="8"/>
        <v>-</v>
      </c>
      <c r="P29" s="199" t="str">
        <f t="shared" si="8"/>
        <v>-</v>
      </c>
      <c r="Q29" s="199" t="str">
        <f t="shared" si="8"/>
        <v>-</v>
      </c>
      <c r="R29" s="199"/>
      <c r="S29" s="199" t="str">
        <f t="shared" si="8"/>
        <v>-</v>
      </c>
      <c r="T29" s="178"/>
      <c r="U29" s="142"/>
      <c r="V29" s="360"/>
      <c r="W29" s="198" t="str">
        <f t="shared" ref="W29:AE29" si="9">IFERROR(AVERAGE(W7:W25),"-")</f>
        <v>-</v>
      </c>
      <c r="X29" s="199" t="str">
        <f t="shared" si="9"/>
        <v>-</v>
      </c>
      <c r="Y29" s="199" t="str">
        <f t="shared" si="9"/>
        <v>-</v>
      </c>
      <c r="Z29" s="199" t="str">
        <f t="shared" si="9"/>
        <v>-</v>
      </c>
      <c r="AA29" s="199" t="str">
        <f t="shared" si="9"/>
        <v>-</v>
      </c>
      <c r="AB29" s="199" t="str">
        <f t="shared" si="9"/>
        <v>-</v>
      </c>
      <c r="AC29" s="178"/>
      <c r="AD29" s="142"/>
      <c r="AE29" s="473" t="str">
        <f t="shared" si="9"/>
        <v>-</v>
      </c>
      <c r="AF29" s="198" t="str">
        <f t="shared" ref="AF29:AN29" si="10">IFERROR(AVERAGE(AF7:AF25),"-")</f>
        <v>-</v>
      </c>
      <c r="AG29" s="199" t="str">
        <f t="shared" si="10"/>
        <v>-</v>
      </c>
      <c r="AH29" s="199" t="str">
        <f t="shared" si="10"/>
        <v>-</v>
      </c>
      <c r="AI29" s="199" t="str">
        <f t="shared" si="10"/>
        <v>-</v>
      </c>
      <c r="AJ29" s="199" t="str">
        <f t="shared" si="10"/>
        <v>-</v>
      </c>
      <c r="AK29" s="199" t="str">
        <f t="shared" si="10"/>
        <v>-</v>
      </c>
      <c r="AL29" s="178"/>
      <c r="AM29" s="142"/>
      <c r="AN29" s="473" t="str">
        <f t="shared" si="10"/>
        <v>-</v>
      </c>
      <c r="AO29" s="198" t="str">
        <f>IFERROR(AVERAGE(AO7:AO25),"-")</f>
        <v>-</v>
      </c>
      <c r="AP29" s="199" t="str">
        <f>IFERROR(AVERAGE(AP7:AP25),"-")</f>
        <v>-</v>
      </c>
      <c r="AQ29" s="199" t="str">
        <f>IFERROR(AVERAGE(AQ7:AQ25),"-")</f>
        <v>-</v>
      </c>
      <c r="AR29" s="69" t="str">
        <f>IFERROR(AVERAGE(AR7:AR25),"-")</f>
        <v>-</v>
      </c>
      <c r="AS29" s="558" t="str">
        <f>IFERROR(AVERAGE(AS7:AS25),"-")</f>
        <v>-</v>
      </c>
      <c r="AT29" s="193"/>
      <c r="AU29" s="194"/>
      <c r="AV29" s="195"/>
      <c r="AW29" s="196"/>
    </row>
    <row r="30" spans="1:49" ht="27" thickBot="1" x14ac:dyDescent="0.3">
      <c r="A30" s="29"/>
      <c r="B30" s="29"/>
      <c r="C30" s="29"/>
      <c r="D30" s="29"/>
      <c r="E30" s="29"/>
      <c r="F30" s="38"/>
      <c r="G30" s="29"/>
      <c r="H30" s="126"/>
      <c r="I30" s="126"/>
      <c r="J30" s="126"/>
      <c r="K30" s="126"/>
      <c r="L30" s="29"/>
      <c r="M30" s="224"/>
      <c r="N30" s="201"/>
      <c r="O30" s="201"/>
      <c r="P30" s="201"/>
      <c r="Q30" s="201"/>
      <c r="R30" s="201"/>
      <c r="S30" s="208"/>
      <c r="T30" s="207"/>
      <c r="U30" s="563" t="s">
        <v>295</v>
      </c>
      <c r="V30" s="564"/>
      <c r="W30" s="222"/>
      <c r="X30" s="201"/>
      <c r="Y30" s="201"/>
      <c r="Z30" s="201"/>
      <c r="AA30" s="201"/>
      <c r="AB30" s="201"/>
      <c r="AC30" s="207"/>
      <c r="AD30" s="214" t="s">
        <v>535</v>
      </c>
      <c r="AE30" s="474"/>
      <c r="AF30" s="222"/>
      <c r="AG30" s="201"/>
      <c r="AH30" s="201"/>
      <c r="AI30" s="201"/>
      <c r="AJ30" s="201"/>
      <c r="AK30" s="201"/>
      <c r="AL30" s="207"/>
      <c r="AM30" s="214" t="s">
        <v>536</v>
      </c>
      <c r="AN30" s="474"/>
      <c r="AO30" s="200"/>
      <c r="AP30" s="201"/>
      <c r="AQ30" s="202"/>
      <c r="AR30" s="186" t="s">
        <v>294</v>
      </c>
      <c r="AS30" s="559"/>
      <c r="AT30" s="29"/>
      <c r="AU30" s="29"/>
      <c r="AV30" s="29"/>
      <c r="AW30" s="29"/>
    </row>
  </sheetData>
  <mergeCells count="43">
    <mergeCell ref="AU1:AW2"/>
    <mergeCell ref="A2:B3"/>
    <mergeCell ref="C2:AT3"/>
    <mergeCell ref="AU3:AW3"/>
    <mergeCell ref="A4:D4"/>
    <mergeCell ref="F5:F6"/>
    <mergeCell ref="M28:U28"/>
    <mergeCell ref="U30:V30"/>
    <mergeCell ref="A1:B1"/>
    <mergeCell ref="C1:AT1"/>
    <mergeCell ref="A5:A6"/>
    <mergeCell ref="B5:B6"/>
    <mergeCell ref="C5:C6"/>
    <mergeCell ref="D5:D6"/>
    <mergeCell ref="AT5:AW5"/>
    <mergeCell ref="A7:A25"/>
    <mergeCell ref="B7:B25"/>
    <mergeCell ref="AO5:AS5"/>
    <mergeCell ref="AN29:AN30"/>
    <mergeCell ref="V5:V6"/>
    <mergeCell ref="AE5:AE6"/>
    <mergeCell ref="AN5:AN6"/>
    <mergeCell ref="AS29:AS30"/>
    <mergeCell ref="AC5:AC6"/>
    <mergeCell ref="AD5:AD6"/>
    <mergeCell ref="AL5:AL6"/>
    <mergeCell ref="AM5:AM6"/>
    <mergeCell ref="T5:T6"/>
    <mergeCell ref="L7:L25"/>
    <mergeCell ref="K5:K6"/>
    <mergeCell ref="A29:L29"/>
    <mergeCell ref="AE29:AE30"/>
    <mergeCell ref="U5:U6"/>
    <mergeCell ref="J5:J6"/>
    <mergeCell ref="G5:G6"/>
    <mergeCell ref="H5:H6"/>
    <mergeCell ref="I5:I6"/>
    <mergeCell ref="L5:L6"/>
    <mergeCell ref="E5:E6"/>
    <mergeCell ref="C7:C25"/>
    <mergeCell ref="D7:D25"/>
    <mergeCell ref="E7:E25"/>
    <mergeCell ref="F7:F25"/>
  </mergeCells>
  <conditionalFormatting sqref="AS29 AO7:AS28">
    <cfRule type="cellIs" dxfId="56" priority="1" operator="lessThan">
      <formula>0.6</formula>
    </cfRule>
    <cfRule type="cellIs" dxfId="55" priority="2" operator="between">
      <formula>60%</formula>
      <formula>79%</formula>
    </cfRule>
    <cfRule type="cellIs" dxfId="54" priority="3" operator="between">
      <formula>80%</formula>
      <formula>100%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opLeftCell="A6" zoomScale="70" zoomScaleNormal="70" workbookViewId="0">
      <selection sqref="A1:B1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7" max="7" width="20" customWidth="1"/>
    <col min="8" max="8" width="25.28515625" style="156" customWidth="1"/>
    <col min="9" max="10" width="14.42578125" style="267" customWidth="1"/>
    <col min="11" max="11" width="18.7109375" customWidth="1"/>
    <col min="12" max="12" width="16.7109375" customWidth="1"/>
    <col min="13" max="13" width="19.42578125" style="164" customWidth="1"/>
    <col min="14" max="14" width="28.85546875" customWidth="1"/>
    <col min="15" max="16" width="21.85546875" customWidth="1"/>
    <col min="17" max="17" width="19.42578125" hidden="1" customWidth="1"/>
    <col min="18" max="18" width="28.85546875" hidden="1" customWidth="1"/>
    <col min="19" max="20" width="21.85546875" hidden="1" customWidth="1"/>
    <col min="21" max="21" width="19.42578125" hidden="1" customWidth="1"/>
    <col min="22" max="22" width="28.85546875" hidden="1" customWidth="1"/>
    <col min="23" max="24" width="21.85546875" hidden="1" customWidth="1"/>
    <col min="25" max="29" width="17.7109375" customWidth="1"/>
    <col min="30" max="33" width="26.5703125" customWidth="1"/>
  </cols>
  <sheetData>
    <row r="1" spans="1:33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96"/>
      <c r="AF1" s="496"/>
      <c r="AG1" s="496"/>
    </row>
    <row r="2" spans="1:33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96"/>
      <c r="AF2" s="496"/>
      <c r="AG2" s="496"/>
    </row>
    <row r="3" spans="1:33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97" t="s">
        <v>695</v>
      </c>
      <c r="AF3" s="497"/>
      <c r="AG3" s="497"/>
    </row>
    <row r="4" spans="1:33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126"/>
      <c r="I4" s="126"/>
      <c r="J4" s="126"/>
      <c r="K4" s="29"/>
      <c r="L4" s="29"/>
      <c r="M4" s="57"/>
      <c r="N4" s="29"/>
      <c r="O4" s="29"/>
      <c r="P4" s="29"/>
      <c r="Q4" s="57"/>
      <c r="R4" s="29"/>
      <c r="S4" s="29"/>
      <c r="T4" s="29"/>
      <c r="U4" s="57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205" t="s">
        <v>325</v>
      </c>
      <c r="N5" s="548" t="s">
        <v>447</v>
      </c>
      <c r="O5" s="494" t="s">
        <v>448</v>
      </c>
      <c r="P5" s="485" t="s">
        <v>540</v>
      </c>
      <c r="Q5" s="205" t="s">
        <v>325</v>
      </c>
      <c r="R5" s="548" t="s">
        <v>447</v>
      </c>
      <c r="S5" s="494" t="s">
        <v>448</v>
      </c>
      <c r="T5" s="485" t="s">
        <v>543</v>
      </c>
      <c r="U5" s="205" t="s">
        <v>325</v>
      </c>
      <c r="V5" s="548" t="s">
        <v>447</v>
      </c>
      <c r="W5" s="494" t="s">
        <v>448</v>
      </c>
      <c r="X5" s="485" t="s">
        <v>552</v>
      </c>
      <c r="Y5" s="528" t="s">
        <v>11</v>
      </c>
      <c r="Z5" s="529"/>
      <c r="AA5" s="529"/>
      <c r="AB5" s="529"/>
      <c r="AC5" s="530"/>
      <c r="AD5" s="478" t="s">
        <v>617</v>
      </c>
      <c r="AE5" s="479"/>
      <c r="AF5" s="479"/>
      <c r="AG5" s="480"/>
    </row>
    <row r="6" spans="1:33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549"/>
      <c r="O6" s="495"/>
      <c r="P6" s="486"/>
      <c r="Q6" s="173" t="s">
        <v>287</v>
      </c>
      <c r="R6" s="549"/>
      <c r="S6" s="495"/>
      <c r="T6" s="486"/>
      <c r="U6" s="173" t="s">
        <v>320</v>
      </c>
      <c r="V6" s="549"/>
      <c r="W6" s="495"/>
      <c r="X6" s="486"/>
      <c r="Y6" s="182" t="s">
        <v>198</v>
      </c>
      <c r="Z6" s="5" t="s">
        <v>199</v>
      </c>
      <c r="AA6" s="5" t="s">
        <v>200</v>
      </c>
      <c r="AB6" s="5" t="s">
        <v>201</v>
      </c>
      <c r="AC6" s="183" t="s">
        <v>20</v>
      </c>
      <c r="AD6" s="187" t="s">
        <v>202</v>
      </c>
      <c r="AE6" s="33" t="s">
        <v>203</v>
      </c>
      <c r="AF6" s="33" t="s">
        <v>204</v>
      </c>
      <c r="AG6" s="188" t="s">
        <v>205</v>
      </c>
    </row>
    <row r="7" spans="1:33" ht="78" customHeight="1" x14ac:dyDescent="0.25">
      <c r="A7" s="573"/>
      <c r="B7" s="506"/>
      <c r="C7" s="506"/>
      <c r="D7" s="506"/>
      <c r="E7" s="506"/>
      <c r="F7" s="569"/>
      <c r="G7" s="89" t="s">
        <v>506</v>
      </c>
      <c r="H7" s="95" t="s">
        <v>507</v>
      </c>
      <c r="I7" s="85">
        <v>1</v>
      </c>
      <c r="J7" s="85" t="s">
        <v>546</v>
      </c>
      <c r="K7" s="157" t="s">
        <v>723</v>
      </c>
      <c r="L7" s="566"/>
      <c r="M7" s="174" t="s">
        <v>452</v>
      </c>
      <c r="N7" s="7"/>
      <c r="O7" s="7"/>
      <c r="P7" s="249" t="str">
        <f>+M7</f>
        <v>-</v>
      </c>
      <c r="Q7" s="174" t="s">
        <v>452</v>
      </c>
      <c r="R7" s="7"/>
      <c r="S7" s="7"/>
      <c r="T7" s="249" t="str">
        <f>+Q7</f>
        <v>-</v>
      </c>
      <c r="U7" s="174" t="s">
        <v>452</v>
      </c>
      <c r="V7" s="7"/>
      <c r="W7" s="7"/>
      <c r="X7" s="249" t="str">
        <f>+U7</f>
        <v>-</v>
      </c>
      <c r="Y7" s="184" t="s">
        <v>225</v>
      </c>
      <c r="Z7" s="26" t="str">
        <f>IFERROR((P7*100%)/I7,"-")</f>
        <v>-</v>
      </c>
      <c r="AA7" s="26" t="str">
        <f>IFERROR((T7*100%)/I7,"-")</f>
        <v>-</v>
      </c>
      <c r="AB7" s="26" t="str">
        <f>IFERROR((X7*100%)/I7,"-")</f>
        <v>-</v>
      </c>
      <c r="AC7" s="185" t="str">
        <f>IFERROR(AVERAGE(Y7:AB7),"-")</f>
        <v>-</v>
      </c>
      <c r="AD7" s="191"/>
      <c r="AE7" s="30"/>
      <c r="AF7" s="28"/>
      <c r="AG7" s="192"/>
    </row>
    <row r="8" spans="1:33" ht="60.75" customHeight="1" x14ac:dyDescent="0.25">
      <c r="A8" s="573"/>
      <c r="B8" s="506"/>
      <c r="C8" s="506"/>
      <c r="D8" s="506"/>
      <c r="E8" s="506"/>
      <c r="F8" s="569"/>
      <c r="G8" s="89" t="s">
        <v>508</v>
      </c>
      <c r="H8" s="95" t="s">
        <v>509</v>
      </c>
      <c r="I8" s="85">
        <v>1</v>
      </c>
      <c r="J8" s="85" t="s">
        <v>547</v>
      </c>
      <c r="K8" s="157" t="s">
        <v>724</v>
      </c>
      <c r="L8" s="566"/>
      <c r="M8" s="174" t="s">
        <v>452</v>
      </c>
      <c r="N8" s="56"/>
      <c r="O8" s="7"/>
      <c r="P8" s="249" t="str">
        <f>+M8</f>
        <v>-</v>
      </c>
      <c r="Q8" s="174" t="s">
        <v>452</v>
      </c>
      <c r="R8" s="56"/>
      <c r="S8" s="7"/>
      <c r="T8" s="249" t="str">
        <f>+Q8</f>
        <v>-</v>
      </c>
      <c r="U8" s="174" t="s">
        <v>452</v>
      </c>
      <c r="V8" s="56"/>
      <c r="W8" s="7"/>
      <c r="X8" s="249" t="str">
        <f>+U8</f>
        <v>-</v>
      </c>
      <c r="Y8" s="184" t="s">
        <v>225</v>
      </c>
      <c r="Z8" s="26" t="str">
        <f>IFERROR((P8*100%)/I8,"-")</f>
        <v>-</v>
      </c>
      <c r="AA8" s="26" t="str">
        <f>IFERROR((T8*100%)/I8,"-")</f>
        <v>-</v>
      </c>
      <c r="AB8" s="26" t="str">
        <f>IFERROR((X8*100%)/I8,"-")</f>
        <v>-</v>
      </c>
      <c r="AC8" s="185" t="str">
        <f>IFERROR(AVERAGE(Y8:AB8),"-")</f>
        <v>-</v>
      </c>
      <c r="AD8" s="191"/>
      <c r="AE8" s="30"/>
      <c r="AF8" s="28"/>
      <c r="AG8" s="220"/>
    </row>
    <row r="9" spans="1:33" ht="74.25" customHeight="1" x14ac:dyDescent="0.25">
      <c r="A9" s="573"/>
      <c r="B9" s="506"/>
      <c r="C9" s="506"/>
      <c r="D9" s="506"/>
      <c r="E9" s="506"/>
      <c r="F9" s="569"/>
      <c r="G9" s="89" t="s">
        <v>510</v>
      </c>
      <c r="H9" s="95" t="s">
        <v>511</v>
      </c>
      <c r="I9" s="85">
        <v>1</v>
      </c>
      <c r="J9" s="85" t="s">
        <v>547</v>
      </c>
      <c r="K9" s="157" t="s">
        <v>724</v>
      </c>
      <c r="L9" s="566"/>
      <c r="M9" s="174" t="s">
        <v>452</v>
      </c>
      <c r="N9" s="56"/>
      <c r="O9" s="56"/>
      <c r="P9" s="249" t="str">
        <f>+M9</f>
        <v>-</v>
      </c>
      <c r="Q9" s="174" t="s">
        <v>452</v>
      </c>
      <c r="R9" s="56"/>
      <c r="S9" s="56"/>
      <c r="T9" s="249" t="str">
        <f>+Q9</f>
        <v>-</v>
      </c>
      <c r="U9" s="174" t="s">
        <v>452</v>
      </c>
      <c r="V9" s="56"/>
      <c r="W9" s="56"/>
      <c r="X9" s="249" t="str">
        <f>+U9</f>
        <v>-</v>
      </c>
      <c r="Y9" s="184" t="s">
        <v>225</v>
      </c>
      <c r="Z9" s="26" t="str">
        <f>IFERROR((P9*100%)/I9,"-")</f>
        <v>-</v>
      </c>
      <c r="AA9" s="26" t="str">
        <f>IFERROR((T9*100%)/I9,"-")</f>
        <v>-</v>
      </c>
      <c r="AB9" s="26" t="str">
        <f>IFERROR((X9*100%)/I9,"-")</f>
        <v>-</v>
      </c>
      <c r="AC9" s="185" t="str">
        <f>IFERROR(AVERAGE(Y9:AB9),"-")</f>
        <v>-</v>
      </c>
      <c r="AD9" s="191"/>
      <c r="AE9" s="30"/>
      <c r="AF9" s="28"/>
      <c r="AG9" s="220"/>
    </row>
    <row r="10" spans="1:33" ht="72.75" customHeight="1" x14ac:dyDescent="0.25">
      <c r="A10" s="573"/>
      <c r="B10" s="506"/>
      <c r="C10" s="506"/>
      <c r="D10" s="506"/>
      <c r="E10" s="506"/>
      <c r="F10" s="569"/>
      <c r="G10" s="89" t="s">
        <v>512</v>
      </c>
      <c r="H10" s="95" t="s">
        <v>513</v>
      </c>
      <c r="I10" s="85">
        <v>1</v>
      </c>
      <c r="J10" s="85" t="s">
        <v>547</v>
      </c>
      <c r="K10" s="157" t="s">
        <v>724</v>
      </c>
      <c r="L10" s="566"/>
      <c r="M10" s="174" t="s">
        <v>452</v>
      </c>
      <c r="N10" s="56"/>
      <c r="O10" s="56"/>
      <c r="P10" s="249" t="str">
        <f>+M10</f>
        <v>-</v>
      </c>
      <c r="Q10" s="174" t="s">
        <v>452</v>
      </c>
      <c r="R10" s="56"/>
      <c r="S10" s="56"/>
      <c r="T10" s="249" t="str">
        <f>+Q10</f>
        <v>-</v>
      </c>
      <c r="U10" s="174" t="s">
        <v>452</v>
      </c>
      <c r="V10" s="56"/>
      <c r="W10" s="56"/>
      <c r="X10" s="249" t="str">
        <f>+U10</f>
        <v>-</v>
      </c>
      <c r="Y10" s="184" t="s">
        <v>225</v>
      </c>
      <c r="Z10" s="26" t="str">
        <f>IFERROR((P10*100%)/I10,"-")</f>
        <v>-</v>
      </c>
      <c r="AA10" s="26" t="str">
        <f>IFERROR((T10*100%)/I10,"-")</f>
        <v>-</v>
      </c>
      <c r="AB10" s="26" t="str">
        <f>IFERROR((X10*100%)/I10,"-")</f>
        <v>-</v>
      </c>
      <c r="AC10" s="185" t="str">
        <f>IFERROR(AVERAGE(Y10:AB10),"-")</f>
        <v>-</v>
      </c>
      <c r="AD10" s="191"/>
      <c r="AE10" s="30"/>
      <c r="AF10" s="28"/>
      <c r="AG10" s="220"/>
    </row>
    <row r="11" spans="1:33" ht="67.5" customHeight="1" x14ac:dyDescent="0.25">
      <c r="A11" s="344"/>
      <c r="B11" s="341"/>
      <c r="C11" s="341"/>
      <c r="D11" s="341"/>
      <c r="E11" s="341"/>
      <c r="F11" s="346"/>
      <c r="G11" s="89" t="s">
        <v>322</v>
      </c>
      <c r="H11" s="95" t="s">
        <v>323</v>
      </c>
      <c r="I11" s="85">
        <v>0.75</v>
      </c>
      <c r="J11" s="85" t="s">
        <v>546</v>
      </c>
      <c r="K11" s="85"/>
      <c r="L11" s="348"/>
      <c r="M11" s="570" t="s">
        <v>689</v>
      </c>
      <c r="N11" s="571"/>
      <c r="O11" s="572"/>
      <c r="P11" s="249" t="str">
        <f>IFERROR(AVERAGE(P7:P10),"-")</f>
        <v>-</v>
      </c>
      <c r="Q11" s="174" t="s">
        <v>452</v>
      </c>
      <c r="R11" s="67"/>
      <c r="S11" s="67"/>
      <c r="T11" s="249" t="str">
        <f>+Q11</f>
        <v>-</v>
      </c>
      <c r="U11" s="174" t="s">
        <v>452</v>
      </c>
      <c r="V11" s="67"/>
      <c r="W11" s="67"/>
      <c r="X11" s="249" t="str">
        <f>+U11</f>
        <v>-</v>
      </c>
      <c r="Y11" s="184" t="s">
        <v>225</v>
      </c>
      <c r="Z11" s="26" t="str">
        <f>IFERROR((P11*100%)/I11,"-")</f>
        <v>-</v>
      </c>
      <c r="AA11" s="26" t="str">
        <f>IFERROR((T11*100%)/I11,"-")</f>
        <v>-</v>
      </c>
      <c r="AB11" s="26" t="str">
        <f>IFERROR((X11*100%)/I11,"-")</f>
        <v>-</v>
      </c>
      <c r="AC11" s="185" t="str">
        <f>IFERROR(AVERAGE(Y11:AB11),"-")</f>
        <v>-</v>
      </c>
      <c r="AD11" s="189" t="s">
        <v>225</v>
      </c>
      <c r="AE11" s="35"/>
      <c r="AF11" s="36"/>
      <c r="AG11" s="190"/>
    </row>
    <row r="12" spans="1:33" ht="27" customHeight="1" thickBot="1" x14ac:dyDescent="0.3">
      <c r="A12" s="501" t="s">
        <v>293</v>
      </c>
      <c r="B12" s="502"/>
      <c r="C12" s="502"/>
      <c r="D12" s="502"/>
      <c r="E12" s="502"/>
      <c r="F12" s="502"/>
      <c r="G12" s="502"/>
      <c r="H12" s="502"/>
      <c r="I12" s="502"/>
      <c r="J12" s="503"/>
      <c r="K12" s="503"/>
      <c r="L12" s="504"/>
      <c r="M12" s="198" t="str">
        <f>IFERROR(AVERAGE(M7:M10),"-")</f>
        <v>-</v>
      </c>
      <c r="N12" s="178"/>
      <c r="O12" s="142"/>
      <c r="P12" s="360"/>
      <c r="Q12" s="198" t="str">
        <f>IFERROR(AVERAGE(Q7:Q10),"-")</f>
        <v>-</v>
      </c>
      <c r="R12" s="178"/>
      <c r="S12" s="142"/>
      <c r="T12" s="567" t="str">
        <f>IFERROR(AVERAGE(T7:T10),"-")</f>
        <v>-</v>
      </c>
      <c r="U12" s="198" t="str">
        <f>IFERROR(AVERAGE(U7:U10),"-")</f>
        <v>-</v>
      </c>
      <c r="V12" s="178"/>
      <c r="W12" s="142"/>
      <c r="X12" s="567" t="str">
        <f t="shared" ref="X12:AC12" si="0">IFERROR(AVERAGE(X7:X10),"-")</f>
        <v>-</v>
      </c>
      <c r="Y12" s="198" t="str">
        <f t="shared" si="0"/>
        <v>-</v>
      </c>
      <c r="Z12" s="199" t="str">
        <f t="shared" si="0"/>
        <v>-</v>
      </c>
      <c r="AA12" s="199" t="str">
        <f t="shared" si="0"/>
        <v>-</v>
      </c>
      <c r="AB12" s="69" t="str">
        <f t="shared" si="0"/>
        <v>-</v>
      </c>
      <c r="AC12" s="558" t="str">
        <f t="shared" si="0"/>
        <v>-</v>
      </c>
      <c r="AD12" s="193"/>
      <c r="AE12" s="194"/>
      <c r="AF12" s="195"/>
      <c r="AG12" s="196"/>
    </row>
    <row r="13" spans="1:33" ht="27" thickBot="1" x14ac:dyDescent="0.3">
      <c r="A13" s="29"/>
      <c r="B13" s="29"/>
      <c r="C13" s="29"/>
      <c r="D13" s="29"/>
      <c r="E13" s="29"/>
      <c r="F13" s="38"/>
      <c r="G13" s="29"/>
      <c r="H13" s="126"/>
      <c r="I13" s="126"/>
      <c r="J13" s="126"/>
      <c r="K13" s="29"/>
      <c r="L13" s="29"/>
      <c r="M13" s="250"/>
      <c r="N13" s="207"/>
      <c r="O13" s="563" t="s">
        <v>295</v>
      </c>
      <c r="P13" s="564"/>
      <c r="Q13" s="206"/>
      <c r="R13" s="207"/>
      <c r="S13" s="214" t="s">
        <v>296</v>
      </c>
      <c r="T13" s="568"/>
      <c r="U13" s="206"/>
      <c r="V13" s="207"/>
      <c r="W13" s="214" t="s">
        <v>297</v>
      </c>
      <c r="X13" s="568"/>
      <c r="Y13" s="200"/>
      <c r="Z13" s="201"/>
      <c r="AA13" s="202"/>
      <c r="AB13" s="186" t="s">
        <v>294</v>
      </c>
      <c r="AC13" s="559"/>
      <c r="AD13" s="29"/>
      <c r="AE13" s="29"/>
      <c r="AF13" s="29"/>
      <c r="AG13" s="29"/>
    </row>
  </sheetData>
  <mergeCells count="43">
    <mergeCell ref="M11:O11"/>
    <mergeCell ref="O13:P13"/>
    <mergeCell ref="A1:B1"/>
    <mergeCell ref="C1:AD1"/>
    <mergeCell ref="AE1:AG2"/>
    <mergeCell ref="A2:B3"/>
    <mergeCell ref="C2:AD3"/>
    <mergeCell ref="AE3:AG3"/>
    <mergeCell ref="A4:D4"/>
    <mergeCell ref="A5:A6"/>
    <mergeCell ref="B5:B6"/>
    <mergeCell ref="C5:C6"/>
    <mergeCell ref="D5:D6"/>
    <mergeCell ref="AD5:AG5"/>
    <mergeCell ref="A7:A10"/>
    <mergeCell ref="B7:B10"/>
    <mergeCell ref="C7:C10"/>
    <mergeCell ref="D7:D10"/>
    <mergeCell ref="E7:E10"/>
    <mergeCell ref="F7:F10"/>
    <mergeCell ref="F5:F6"/>
    <mergeCell ref="H5:H6"/>
    <mergeCell ref="I5:I6"/>
    <mergeCell ref="L5:L6"/>
    <mergeCell ref="E5:E6"/>
    <mergeCell ref="J5:J6"/>
    <mergeCell ref="K5:K6"/>
    <mergeCell ref="AC12:AC13"/>
    <mergeCell ref="L7:L10"/>
    <mergeCell ref="A12:L12"/>
    <mergeCell ref="Y5:AC5"/>
    <mergeCell ref="T12:T13"/>
    <mergeCell ref="X12:X13"/>
    <mergeCell ref="V5:V6"/>
    <mergeCell ref="N5:N6"/>
    <mergeCell ref="O5:O6"/>
    <mergeCell ref="R5:R6"/>
    <mergeCell ref="S5:S6"/>
    <mergeCell ref="W5:W6"/>
    <mergeCell ref="P5:P6"/>
    <mergeCell ref="T5:T6"/>
    <mergeCell ref="X5:X6"/>
    <mergeCell ref="G5:G6"/>
  </mergeCells>
  <conditionalFormatting sqref="AC12 Y7:AC10">
    <cfRule type="cellIs" dxfId="53" priority="4" operator="lessThan">
      <formula>0.6</formula>
    </cfRule>
    <cfRule type="cellIs" dxfId="52" priority="5" operator="between">
      <formula>60%</formula>
      <formula>79%</formula>
    </cfRule>
    <cfRule type="cellIs" dxfId="51" priority="6" operator="between">
      <formula>80%</formula>
      <formula>100%</formula>
    </cfRule>
  </conditionalFormatting>
  <conditionalFormatting sqref="Y11:AC11">
    <cfRule type="cellIs" dxfId="50" priority="1" operator="lessThan">
      <formula>0.6</formula>
    </cfRule>
    <cfRule type="cellIs" dxfId="49" priority="2" operator="between">
      <formula>60%</formula>
      <formula>79%</formula>
    </cfRule>
    <cfRule type="cellIs" dxfId="48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topLeftCell="A5" zoomScale="70" zoomScaleNormal="70" workbookViewId="0">
      <selection activeCell="N7" sqref="N7:N10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4.42578125" customWidth="1"/>
    <col min="7" max="7" width="19.5703125" customWidth="1"/>
    <col min="8" max="8" width="36.7109375" customWidth="1"/>
    <col min="9" max="9" width="16.5703125" customWidth="1"/>
    <col min="10" max="10" width="19.42578125" customWidth="1"/>
    <col min="11" max="12" width="16.5703125" customWidth="1"/>
    <col min="13" max="13" width="19.42578125" customWidth="1"/>
    <col min="14" max="14" width="48" customWidth="1"/>
    <col min="15" max="15" width="26.5703125" customWidth="1"/>
    <col min="16" max="16" width="19.42578125" customWidth="1"/>
    <col min="17" max="19" width="19.42578125" hidden="1" customWidth="1"/>
    <col min="20" max="20" width="28.85546875" hidden="1" customWidth="1"/>
    <col min="21" max="21" width="21.85546875" hidden="1" customWidth="1"/>
    <col min="22" max="25" width="19.42578125" hidden="1" customWidth="1"/>
    <col min="26" max="26" width="28.85546875" hidden="1" customWidth="1"/>
    <col min="27" max="27" width="21.85546875" hidden="1" customWidth="1"/>
    <col min="28" max="28" width="19.42578125" hidden="1" customWidth="1"/>
    <col min="29" max="33" width="17.7109375" customWidth="1"/>
    <col min="34" max="37" width="26.5703125" customWidth="1"/>
  </cols>
  <sheetData>
    <row r="1" spans="1:37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96"/>
      <c r="AJ1" s="496"/>
      <c r="AK1" s="496"/>
    </row>
    <row r="2" spans="1:37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96"/>
      <c r="AJ2" s="496"/>
      <c r="AK2" s="496"/>
    </row>
    <row r="3" spans="1:37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97" t="s">
        <v>695</v>
      </c>
      <c r="AJ3" s="497"/>
      <c r="AK3" s="497"/>
    </row>
    <row r="4" spans="1:37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29"/>
      <c r="O4" s="29"/>
      <c r="P4" s="29"/>
      <c r="Q4" s="57"/>
      <c r="R4" s="29"/>
      <c r="S4" s="29"/>
      <c r="T4" s="29"/>
      <c r="U4" s="29"/>
      <c r="V4" s="29"/>
      <c r="W4" s="57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37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575" t="s">
        <v>9</v>
      </c>
      <c r="M5" s="205" t="s">
        <v>331</v>
      </c>
      <c r="N5" s="548" t="s">
        <v>447</v>
      </c>
      <c r="O5" s="494" t="s">
        <v>448</v>
      </c>
      <c r="P5" s="485" t="s">
        <v>540</v>
      </c>
      <c r="Q5" s="205" t="s">
        <v>331</v>
      </c>
      <c r="R5" s="265" t="s">
        <v>573</v>
      </c>
      <c r="S5" s="265" t="s">
        <v>561</v>
      </c>
      <c r="T5" s="548" t="s">
        <v>447</v>
      </c>
      <c r="U5" s="494" t="s">
        <v>448</v>
      </c>
      <c r="V5" s="485" t="s">
        <v>543</v>
      </c>
      <c r="W5" s="205" t="s">
        <v>331</v>
      </c>
      <c r="X5" s="265" t="s">
        <v>573</v>
      </c>
      <c r="Y5" s="265" t="s">
        <v>561</v>
      </c>
      <c r="Z5" s="548" t="s">
        <v>447</v>
      </c>
      <c r="AA5" s="494" t="s">
        <v>448</v>
      </c>
      <c r="AB5" s="485" t="s">
        <v>544</v>
      </c>
      <c r="AC5" s="528" t="s">
        <v>11</v>
      </c>
      <c r="AD5" s="529"/>
      <c r="AE5" s="529"/>
      <c r="AF5" s="529"/>
      <c r="AG5" s="530"/>
      <c r="AH5" s="478" t="s">
        <v>197</v>
      </c>
      <c r="AI5" s="479"/>
      <c r="AJ5" s="479"/>
      <c r="AK5" s="480"/>
    </row>
    <row r="6" spans="1:37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576"/>
      <c r="M6" s="173" t="s">
        <v>298</v>
      </c>
      <c r="N6" s="549"/>
      <c r="O6" s="495"/>
      <c r="P6" s="486"/>
      <c r="Q6" s="173" t="s">
        <v>287</v>
      </c>
      <c r="R6" s="4" t="s">
        <v>287</v>
      </c>
      <c r="S6" s="4" t="s">
        <v>287</v>
      </c>
      <c r="T6" s="549"/>
      <c r="U6" s="495"/>
      <c r="V6" s="486"/>
      <c r="W6" s="173" t="s">
        <v>320</v>
      </c>
      <c r="X6" s="4" t="s">
        <v>320</v>
      </c>
      <c r="Y6" s="4" t="s">
        <v>320</v>
      </c>
      <c r="Z6" s="549"/>
      <c r="AA6" s="495"/>
      <c r="AB6" s="486"/>
      <c r="AC6" s="182" t="s">
        <v>198</v>
      </c>
      <c r="AD6" s="5" t="s">
        <v>199</v>
      </c>
      <c r="AE6" s="5" t="s">
        <v>200</v>
      </c>
      <c r="AF6" s="5" t="s">
        <v>201</v>
      </c>
      <c r="AG6" s="183" t="s">
        <v>20</v>
      </c>
      <c r="AH6" s="187" t="s">
        <v>202</v>
      </c>
      <c r="AI6" s="33" t="s">
        <v>203</v>
      </c>
      <c r="AJ6" s="33" t="s">
        <v>204</v>
      </c>
      <c r="AK6" s="188" t="s">
        <v>205</v>
      </c>
    </row>
    <row r="7" spans="1:37" ht="124.5" customHeight="1" x14ac:dyDescent="0.25">
      <c r="A7" s="579" t="s">
        <v>76</v>
      </c>
      <c r="B7" s="580" t="s">
        <v>319</v>
      </c>
      <c r="C7" s="580" t="s">
        <v>215</v>
      </c>
      <c r="D7" s="580" t="s">
        <v>85</v>
      </c>
      <c r="E7" s="580" t="s">
        <v>353</v>
      </c>
      <c r="F7" s="574">
        <v>0.4</v>
      </c>
      <c r="G7" s="227" t="s">
        <v>354</v>
      </c>
      <c r="H7" s="96" t="s">
        <v>766</v>
      </c>
      <c r="I7" s="67" t="s">
        <v>767</v>
      </c>
      <c r="J7" s="67" t="s">
        <v>768</v>
      </c>
      <c r="K7" s="96" t="s">
        <v>769</v>
      </c>
      <c r="L7" s="275" t="s">
        <v>331</v>
      </c>
      <c r="M7" s="174" t="s">
        <v>737</v>
      </c>
      <c r="N7" s="67"/>
      <c r="O7" s="67"/>
      <c r="P7" s="175" t="str">
        <f>+IFERROR(AVERAGE(M7:M7),"-")</f>
        <v>-</v>
      </c>
      <c r="Q7" s="174"/>
      <c r="R7" s="67"/>
      <c r="S7" s="67"/>
      <c r="T7" s="67"/>
      <c r="U7" s="67"/>
      <c r="V7" s="175" t="str">
        <f>+IFERROR(AVERAGE(Q7:S7),"-")</f>
        <v>-</v>
      </c>
      <c r="W7" s="174"/>
      <c r="X7" s="67"/>
      <c r="Y7" s="67"/>
      <c r="Z7" s="67"/>
      <c r="AA7" s="67"/>
      <c r="AB7" s="175" t="str">
        <f>+IFERROR(AVERAGE(W7:Y7),"-")</f>
        <v>-</v>
      </c>
      <c r="AC7" s="184" t="s">
        <v>225</v>
      </c>
      <c r="AD7" s="26" t="str">
        <f>IFERROR((P7*100%)/I7,"-")</f>
        <v>-</v>
      </c>
      <c r="AE7" s="26" t="str">
        <f>IFERROR((V7*100%)/I7,"-")</f>
        <v>-</v>
      </c>
      <c r="AF7" s="26" t="str">
        <f>IFERROR((AB7*100%)/I7,"-")</f>
        <v>-</v>
      </c>
      <c r="AG7" s="185" t="str">
        <f>IFERROR(AVERAGE(AC7:AF7),"-")</f>
        <v>-</v>
      </c>
      <c r="AH7" s="189"/>
      <c r="AI7" s="35"/>
      <c r="AJ7" s="36"/>
      <c r="AK7" s="190"/>
    </row>
    <row r="8" spans="1:37" ht="128.25" customHeight="1" x14ac:dyDescent="0.25">
      <c r="A8" s="565"/>
      <c r="B8" s="556"/>
      <c r="C8" s="556"/>
      <c r="D8" s="556"/>
      <c r="E8" s="556"/>
      <c r="F8" s="557"/>
      <c r="G8" s="170" t="s">
        <v>355</v>
      </c>
      <c r="H8" s="95" t="s">
        <v>770</v>
      </c>
      <c r="I8" s="67" t="s">
        <v>767</v>
      </c>
      <c r="J8" s="67" t="s">
        <v>768</v>
      </c>
      <c r="K8" s="96" t="s">
        <v>769</v>
      </c>
      <c r="L8" s="275" t="s">
        <v>331</v>
      </c>
      <c r="M8" s="174" t="s">
        <v>738</v>
      </c>
      <c r="N8" s="67"/>
      <c r="O8" s="7"/>
      <c r="P8" s="175" t="str">
        <f>+IFERROR(AVERAGE(M8:M8),"-")</f>
        <v>-</v>
      </c>
      <c r="Q8" s="174"/>
      <c r="R8" s="67"/>
      <c r="S8" s="67"/>
      <c r="T8" s="7"/>
      <c r="U8" s="7"/>
      <c r="V8" s="175" t="str">
        <f>+IFERROR(AVERAGE(Q8:S8),"-")</f>
        <v>-</v>
      </c>
      <c r="W8" s="174"/>
      <c r="X8" s="67"/>
      <c r="Y8" s="67"/>
      <c r="Z8" s="7"/>
      <c r="AA8" s="7"/>
      <c r="AB8" s="175" t="str">
        <f>+IFERROR(AVERAGE(W8:Y8),"-")</f>
        <v>-</v>
      </c>
      <c r="AC8" s="184" t="s">
        <v>225</v>
      </c>
      <c r="AD8" s="26" t="str">
        <f>IFERROR((P8*100%)/I8,"-")</f>
        <v>-</v>
      </c>
      <c r="AE8" s="26" t="str">
        <f>IFERROR((V8*100%)/I8,"-")</f>
        <v>-</v>
      </c>
      <c r="AF8" s="26" t="str">
        <f>IFERROR((AB8*100%)/I8,"-")</f>
        <v>-</v>
      </c>
      <c r="AG8" s="185" t="str">
        <f>IFERROR(AVERAGE(AC8:AF8),"-")</f>
        <v>-</v>
      </c>
      <c r="AH8" s="189"/>
      <c r="AI8" s="35"/>
      <c r="AJ8" s="36"/>
      <c r="AK8" s="190"/>
    </row>
    <row r="9" spans="1:37" ht="185.25" customHeight="1" x14ac:dyDescent="0.25">
      <c r="A9" s="565"/>
      <c r="B9" s="556"/>
      <c r="C9" s="556"/>
      <c r="D9" s="556"/>
      <c r="E9" s="556"/>
      <c r="F9" s="557"/>
      <c r="G9" s="170" t="s">
        <v>572</v>
      </c>
      <c r="H9" s="95" t="s">
        <v>771</v>
      </c>
      <c r="I9" s="67" t="s">
        <v>767</v>
      </c>
      <c r="J9" s="67" t="s">
        <v>768</v>
      </c>
      <c r="K9" s="96" t="s">
        <v>772</v>
      </c>
      <c r="L9" s="275" t="s">
        <v>736</v>
      </c>
      <c r="M9" s="174"/>
      <c r="N9" s="67"/>
      <c r="O9" s="7"/>
      <c r="P9" s="175" t="str">
        <f>+IFERROR(AVERAGE(M9:M9),"-")</f>
        <v>-</v>
      </c>
      <c r="Q9" s="174"/>
      <c r="R9" s="67"/>
      <c r="S9" s="67"/>
      <c r="T9" s="56"/>
      <c r="U9" s="7"/>
      <c r="V9" s="175" t="str">
        <f>+IFERROR(AVERAGE(Q9:S9),"-")</f>
        <v>-</v>
      </c>
      <c r="W9" s="174"/>
      <c r="X9" s="67"/>
      <c r="Y9" s="67"/>
      <c r="Z9" s="56"/>
      <c r="AA9" s="7"/>
      <c r="AB9" s="175" t="str">
        <f>+IFERROR(AVERAGE(W9:Y9),"-")</f>
        <v>-</v>
      </c>
      <c r="AC9" s="184" t="s">
        <v>225</v>
      </c>
      <c r="AD9" s="26" t="str">
        <f>IFERROR((P9*100%)/I9,"-")</f>
        <v>-</v>
      </c>
      <c r="AE9" s="26" t="str">
        <f>IFERROR((V9*100%)/I9,"-")</f>
        <v>-</v>
      </c>
      <c r="AF9" s="26" t="str">
        <f>IFERROR((AB9*100%)/I9,"-")</f>
        <v>-</v>
      </c>
      <c r="AG9" s="185" t="str">
        <f>IFERROR(AVERAGE(AC9:AF9),"-")</f>
        <v>-</v>
      </c>
      <c r="AH9" s="189"/>
      <c r="AI9" s="35"/>
      <c r="AJ9" s="36"/>
      <c r="AK9" s="190"/>
    </row>
    <row r="10" spans="1:37" ht="26.25" thickBot="1" x14ac:dyDescent="0.3">
      <c r="A10" s="501" t="s">
        <v>293</v>
      </c>
      <c r="B10" s="502"/>
      <c r="C10" s="502"/>
      <c r="D10" s="502"/>
      <c r="E10" s="502"/>
      <c r="F10" s="502"/>
      <c r="G10" s="502"/>
      <c r="H10" s="502"/>
      <c r="I10" s="502"/>
      <c r="J10" s="502"/>
      <c r="K10" s="502"/>
      <c r="L10" s="503"/>
      <c r="M10" s="198" t="str">
        <f>IFERROR(AVERAGE(M7:M9),"-")</f>
        <v>-</v>
      </c>
      <c r="N10" s="276"/>
      <c r="O10" s="263"/>
      <c r="P10" s="473" t="str">
        <f>IFERROR(AVERAGE(P7:P9),"-")</f>
        <v>-</v>
      </c>
      <c r="Q10" s="198" t="str">
        <f>IFERROR(AVERAGE(Q7:Q9),"-")</f>
        <v>-</v>
      </c>
      <c r="R10" s="199" t="str">
        <f>IFERROR(AVERAGE(R7:R9),"-")</f>
        <v>-</v>
      </c>
      <c r="S10" s="199" t="str">
        <f>IFERROR(AVERAGE(S7:S9),"-")</f>
        <v>-</v>
      </c>
      <c r="T10" s="276"/>
      <c r="U10" s="263"/>
      <c r="V10" s="473" t="str">
        <f>IFERROR(AVERAGE(V7:V9),"-")</f>
        <v>-</v>
      </c>
      <c r="W10" s="198" t="str">
        <f>IFERROR(AVERAGE(W7:W9),"-")</f>
        <v>-</v>
      </c>
      <c r="X10" s="199" t="str">
        <f>IFERROR(AVERAGE(X7:X9),"-")</f>
        <v>-</v>
      </c>
      <c r="Y10" s="199" t="str">
        <f>IFERROR(AVERAGE(Y7:Y9),"-")</f>
        <v>-</v>
      </c>
      <c r="Z10" s="276"/>
      <c r="AA10" s="263"/>
      <c r="AB10" s="473" t="str">
        <f>IFERROR(AVERAGE(AB7:AB9),"-")</f>
        <v>-</v>
      </c>
      <c r="AC10" s="198" t="str">
        <f>IFERROR(AVERAGE(AC7:AC9),"-")</f>
        <v>-</v>
      </c>
      <c r="AD10" s="199" t="str">
        <f>IFERROR(AVERAGE(AD7:AD9),"-")</f>
        <v>-</v>
      </c>
      <c r="AE10" s="199" t="str">
        <f>IFERROR(AVERAGE(AE7:AE9),"-")</f>
        <v>-</v>
      </c>
      <c r="AF10" s="69" t="str">
        <f>IFERROR(AVERAGE(AF7:AF9),"-")</f>
        <v>-</v>
      </c>
      <c r="AG10" s="577" t="str">
        <f>IFERROR(AVERAGE(AG7:AG9),"-")</f>
        <v>-</v>
      </c>
      <c r="AH10" s="193"/>
      <c r="AI10" s="194"/>
      <c r="AJ10" s="195"/>
      <c r="AK10" s="196"/>
    </row>
    <row r="11" spans="1:37" ht="27" thickBot="1" x14ac:dyDescent="0.3">
      <c r="A11" s="29"/>
      <c r="B11" s="29"/>
      <c r="C11" s="29"/>
      <c r="D11" s="29"/>
      <c r="E11" s="29"/>
      <c r="F11" s="38"/>
      <c r="G11" s="29"/>
      <c r="H11" s="29"/>
      <c r="I11" s="29"/>
      <c r="J11" s="29"/>
      <c r="K11" s="29"/>
      <c r="L11" s="29"/>
      <c r="M11" s="224"/>
      <c r="N11" s="207"/>
      <c r="O11" s="214" t="s">
        <v>295</v>
      </c>
      <c r="P11" s="474"/>
      <c r="Q11" s="222"/>
      <c r="R11" s="201"/>
      <c r="S11" s="201"/>
      <c r="T11" s="207"/>
      <c r="U11" s="214" t="s">
        <v>562</v>
      </c>
      <c r="V11" s="474"/>
      <c r="W11" s="222"/>
      <c r="X11" s="201"/>
      <c r="Y11" s="201"/>
      <c r="Z11" s="207"/>
      <c r="AA11" s="213" t="s">
        <v>297</v>
      </c>
      <c r="AB11" s="474"/>
      <c r="AC11" s="200"/>
      <c r="AD11" s="201"/>
      <c r="AE11" s="202"/>
      <c r="AF11" s="186" t="s">
        <v>294</v>
      </c>
      <c r="AG11" s="578"/>
      <c r="AH11" s="29"/>
      <c r="AI11" s="29"/>
      <c r="AJ11" s="29"/>
      <c r="AK11" s="29"/>
    </row>
    <row r="14" spans="1:37" ht="26.25" x14ac:dyDescent="0.25">
      <c r="H14" s="517" t="s">
        <v>641</v>
      </c>
      <c r="I14" s="517"/>
      <c r="J14" s="517"/>
      <c r="K14" s="517"/>
      <c r="L14" s="314" t="s">
        <v>638</v>
      </c>
      <c r="M14" s="315" t="s">
        <v>639</v>
      </c>
      <c r="N14" s="339" t="s">
        <v>642</v>
      </c>
    </row>
    <row r="15" spans="1:37" x14ac:dyDescent="0.25">
      <c r="H15" s="521" t="s">
        <v>354</v>
      </c>
      <c r="I15" s="522"/>
      <c r="J15" s="522"/>
      <c r="K15" s="523"/>
      <c r="L15" s="353"/>
      <c r="M15" s="353">
        <v>0.15</v>
      </c>
      <c r="N15" s="335" t="str">
        <f>IFERROR(+IF(#REF!=100%,M15,(+#REF!*M15)),"-")</f>
        <v>-</v>
      </c>
    </row>
    <row r="16" spans="1:37" x14ac:dyDescent="0.25">
      <c r="H16" s="521" t="s">
        <v>355</v>
      </c>
      <c r="I16" s="522"/>
      <c r="J16" s="522"/>
      <c r="K16" s="523"/>
      <c r="L16" s="353"/>
      <c r="M16" s="353">
        <v>0.15</v>
      </c>
      <c r="N16" s="355" t="str">
        <f>+IFERROR(IF(#REF!=100%,M16,(+#REF!*M16)),"-")</f>
        <v>-</v>
      </c>
    </row>
    <row r="17" spans="8:14" x14ac:dyDescent="0.25">
      <c r="H17" s="521" t="s">
        <v>572</v>
      </c>
      <c r="I17" s="522"/>
      <c r="J17" s="522"/>
      <c r="K17" s="523"/>
      <c r="L17" s="353"/>
      <c r="M17" s="353">
        <v>0.1</v>
      </c>
      <c r="N17" s="355" t="str">
        <f>+IFERROR(IF(#REF!=100%,M17,(+#REF!*M17)),"-")</f>
        <v>-</v>
      </c>
    </row>
    <row r="18" spans="8:14" x14ac:dyDescent="0.25">
      <c r="M18" s="354">
        <f>SUM(M15:M17)</f>
        <v>0.4</v>
      </c>
      <c r="N18" s="354">
        <f>SUM(N15:N17)</f>
        <v>0</v>
      </c>
    </row>
  </sheetData>
  <mergeCells count="45">
    <mergeCell ref="H15:K15"/>
    <mergeCell ref="H16:K16"/>
    <mergeCell ref="H17:K17"/>
    <mergeCell ref="H14:K14"/>
    <mergeCell ref="A10:L10"/>
    <mergeCell ref="P10:P11"/>
    <mergeCell ref="V10:V11"/>
    <mergeCell ref="AB10:AB11"/>
    <mergeCell ref="AG10:AG11"/>
    <mergeCell ref="A7:A9"/>
    <mergeCell ref="B7:B9"/>
    <mergeCell ref="C7:C9"/>
    <mergeCell ref="D7:D9"/>
    <mergeCell ref="E7:E9"/>
    <mergeCell ref="V5:V6"/>
    <mergeCell ref="F7:F9"/>
    <mergeCell ref="F5:F6"/>
    <mergeCell ref="G5:G6"/>
    <mergeCell ref="I5:I6"/>
    <mergeCell ref="U5:U6"/>
    <mergeCell ref="T5:T6"/>
    <mergeCell ref="P5:P6"/>
    <mergeCell ref="L5:L6"/>
    <mergeCell ref="K5:K6"/>
    <mergeCell ref="A4:D4"/>
    <mergeCell ref="A5:A6"/>
    <mergeCell ref="B5:B6"/>
    <mergeCell ref="C5:C6"/>
    <mergeCell ref="D5:D6"/>
    <mergeCell ref="A1:B1"/>
    <mergeCell ref="C1:AH1"/>
    <mergeCell ref="AB5:AB6"/>
    <mergeCell ref="AC5:AG5"/>
    <mergeCell ref="AH5:AK5"/>
    <mergeCell ref="Z5:Z6"/>
    <mergeCell ref="AA5:AA6"/>
    <mergeCell ref="AI1:AK2"/>
    <mergeCell ref="A2:B3"/>
    <mergeCell ref="C2:AH3"/>
    <mergeCell ref="AI3:AK3"/>
    <mergeCell ref="H5:H6"/>
    <mergeCell ref="E5:E6"/>
    <mergeCell ref="J5:J6"/>
    <mergeCell ref="N5:N6"/>
    <mergeCell ref="O5:O6"/>
  </mergeCells>
  <conditionalFormatting sqref="AG10 AC7:AG9">
    <cfRule type="cellIs" dxfId="47" priority="1" operator="lessThan">
      <formula>0.6</formula>
    </cfRule>
    <cfRule type="cellIs" dxfId="46" priority="2" operator="between">
      <formula>60%</formula>
      <formula>79%</formula>
    </cfRule>
    <cfRule type="cellIs" dxfId="45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opLeftCell="L1" zoomScale="70" zoomScaleNormal="70" workbookViewId="0">
      <selection activeCell="I7" sqref="I7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3.140625" customWidth="1"/>
    <col min="7" max="7" width="14" customWidth="1"/>
    <col min="8" max="8" width="25.28515625" customWidth="1"/>
    <col min="9" max="11" width="14.42578125" customWidth="1"/>
    <col min="12" max="12" width="16.7109375" customWidth="1"/>
    <col min="13" max="20" width="19.42578125" customWidth="1"/>
    <col min="21" max="21" width="23.5703125" customWidth="1"/>
    <col min="22" max="23" width="19.42578125" customWidth="1"/>
    <col min="24" max="31" width="19.42578125" hidden="1" customWidth="1"/>
    <col min="32" max="32" width="23.5703125" hidden="1" customWidth="1"/>
    <col min="33" max="42" width="19.42578125" hidden="1" customWidth="1"/>
    <col min="43" max="43" width="23.5703125" hidden="1" customWidth="1"/>
    <col min="44" max="45" width="19.42578125" hidden="1" customWidth="1"/>
    <col min="46" max="50" width="17.7109375" customWidth="1"/>
    <col min="51" max="54" width="26.5703125" customWidth="1"/>
  </cols>
  <sheetData>
    <row r="1" spans="1:54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96"/>
      <c r="BA1" s="496"/>
      <c r="BB1" s="496"/>
    </row>
    <row r="2" spans="1:54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96"/>
      <c r="BA2" s="496"/>
      <c r="BB2" s="496"/>
    </row>
    <row r="3" spans="1:54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97" t="s">
        <v>695</v>
      </c>
      <c r="BA3" s="497"/>
      <c r="BB3" s="497"/>
    </row>
    <row r="4" spans="1:54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29"/>
      <c r="O4" s="29"/>
      <c r="P4" s="29"/>
      <c r="Q4" s="29"/>
      <c r="R4" s="29"/>
      <c r="S4" s="29"/>
      <c r="T4" s="29"/>
      <c r="U4" s="29"/>
      <c r="V4" s="29"/>
      <c r="W4" s="29"/>
      <c r="X4" s="57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57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</row>
    <row r="5" spans="1:54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611</v>
      </c>
      <c r="L5" s="487" t="s">
        <v>9</v>
      </c>
      <c r="M5" s="205" t="s">
        <v>327</v>
      </c>
      <c r="N5" s="221" t="s">
        <v>328</v>
      </c>
      <c r="O5" s="221" t="s">
        <v>313</v>
      </c>
      <c r="P5" s="221" t="s">
        <v>246</v>
      </c>
      <c r="Q5" s="221" t="s">
        <v>325</v>
      </c>
      <c r="R5" s="221" t="s">
        <v>329</v>
      </c>
      <c r="S5" s="221" t="s">
        <v>330</v>
      </c>
      <c r="T5" s="221" t="s">
        <v>331</v>
      </c>
      <c r="U5" s="548" t="s">
        <v>447</v>
      </c>
      <c r="V5" s="494" t="s">
        <v>448</v>
      </c>
      <c r="W5" s="485" t="s">
        <v>540</v>
      </c>
      <c r="X5" s="205" t="s">
        <v>327</v>
      </c>
      <c r="Y5" s="221" t="s">
        <v>328</v>
      </c>
      <c r="Z5" s="221" t="s">
        <v>313</v>
      </c>
      <c r="AA5" s="221" t="s">
        <v>246</v>
      </c>
      <c r="AB5" s="221" t="s">
        <v>325</v>
      </c>
      <c r="AC5" s="221" t="s">
        <v>329</v>
      </c>
      <c r="AD5" s="221" t="s">
        <v>330</v>
      </c>
      <c r="AE5" s="221" t="s">
        <v>331</v>
      </c>
      <c r="AF5" s="548" t="s">
        <v>447</v>
      </c>
      <c r="AG5" s="494" t="s">
        <v>448</v>
      </c>
      <c r="AH5" s="485" t="s">
        <v>543</v>
      </c>
      <c r="AI5" s="205" t="s">
        <v>327</v>
      </c>
      <c r="AJ5" s="221" t="s">
        <v>328</v>
      </c>
      <c r="AK5" s="221" t="s">
        <v>313</v>
      </c>
      <c r="AL5" s="221" t="s">
        <v>246</v>
      </c>
      <c r="AM5" s="221" t="s">
        <v>325</v>
      </c>
      <c r="AN5" s="221" t="s">
        <v>329</v>
      </c>
      <c r="AO5" s="221" t="s">
        <v>330</v>
      </c>
      <c r="AP5" s="221" t="s">
        <v>331</v>
      </c>
      <c r="AQ5" s="548" t="s">
        <v>447</v>
      </c>
      <c r="AR5" s="494" t="s">
        <v>448</v>
      </c>
      <c r="AS5" s="485" t="s">
        <v>551</v>
      </c>
      <c r="AT5" s="528" t="s">
        <v>11</v>
      </c>
      <c r="AU5" s="529"/>
      <c r="AV5" s="529"/>
      <c r="AW5" s="529"/>
      <c r="AX5" s="530"/>
      <c r="AY5" s="478" t="s">
        <v>197</v>
      </c>
      <c r="AZ5" s="479"/>
      <c r="BA5" s="479"/>
      <c r="BB5" s="480"/>
    </row>
    <row r="6" spans="1:54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4" t="s">
        <v>298</v>
      </c>
      <c r="O6" s="4" t="s">
        <v>298</v>
      </c>
      <c r="P6" s="4" t="s">
        <v>298</v>
      </c>
      <c r="Q6" s="4" t="s">
        <v>298</v>
      </c>
      <c r="R6" s="4" t="s">
        <v>298</v>
      </c>
      <c r="S6" s="4" t="s">
        <v>298</v>
      </c>
      <c r="T6" s="4" t="s">
        <v>298</v>
      </c>
      <c r="U6" s="549"/>
      <c r="V6" s="495"/>
      <c r="W6" s="486"/>
      <c r="X6" s="173" t="s">
        <v>287</v>
      </c>
      <c r="Y6" s="4" t="s">
        <v>287</v>
      </c>
      <c r="Z6" s="4" t="s">
        <v>287</v>
      </c>
      <c r="AA6" s="4" t="s">
        <v>287</v>
      </c>
      <c r="AB6" s="4" t="s">
        <v>287</v>
      </c>
      <c r="AC6" s="4" t="s">
        <v>287</v>
      </c>
      <c r="AD6" s="4" t="s">
        <v>287</v>
      </c>
      <c r="AE6" s="4" t="s">
        <v>287</v>
      </c>
      <c r="AF6" s="549"/>
      <c r="AG6" s="495"/>
      <c r="AH6" s="486"/>
      <c r="AI6" s="173" t="s">
        <v>320</v>
      </c>
      <c r="AJ6" s="4" t="s">
        <v>320</v>
      </c>
      <c r="AK6" s="4" t="s">
        <v>320</v>
      </c>
      <c r="AL6" s="4" t="s">
        <v>320</v>
      </c>
      <c r="AM6" s="4" t="s">
        <v>320</v>
      </c>
      <c r="AN6" s="4" t="s">
        <v>320</v>
      </c>
      <c r="AO6" s="4" t="s">
        <v>320</v>
      </c>
      <c r="AP6" s="4" t="s">
        <v>320</v>
      </c>
      <c r="AQ6" s="549"/>
      <c r="AR6" s="495"/>
      <c r="AS6" s="486"/>
      <c r="AT6" s="182" t="s">
        <v>198</v>
      </c>
      <c r="AU6" s="5" t="s">
        <v>199</v>
      </c>
      <c r="AV6" s="5" t="s">
        <v>200</v>
      </c>
      <c r="AW6" s="5" t="s">
        <v>201</v>
      </c>
      <c r="AX6" s="183" t="s">
        <v>20</v>
      </c>
      <c r="AY6" s="187" t="s">
        <v>202</v>
      </c>
      <c r="AZ6" s="33" t="s">
        <v>203</v>
      </c>
      <c r="BA6" s="33" t="s">
        <v>204</v>
      </c>
      <c r="BB6" s="188" t="s">
        <v>205</v>
      </c>
    </row>
    <row r="7" spans="1:54" ht="79.5" customHeight="1" x14ac:dyDescent="0.25">
      <c r="A7" s="396" t="s">
        <v>76</v>
      </c>
      <c r="B7" s="395" t="s">
        <v>319</v>
      </c>
      <c r="C7" s="392" t="s">
        <v>215</v>
      </c>
      <c r="D7" s="392" t="s">
        <v>217</v>
      </c>
      <c r="E7" s="392" t="s">
        <v>218</v>
      </c>
      <c r="F7" s="391" t="s">
        <v>96</v>
      </c>
      <c r="G7" s="89" t="s">
        <v>326</v>
      </c>
      <c r="H7" s="89" t="s">
        <v>528</v>
      </c>
      <c r="I7" s="167" t="s">
        <v>141</v>
      </c>
      <c r="J7" s="167" t="s">
        <v>546</v>
      </c>
      <c r="K7" s="375" t="s">
        <v>712</v>
      </c>
      <c r="L7" s="397" t="s">
        <v>553</v>
      </c>
      <c r="M7" s="174"/>
      <c r="N7" s="56"/>
      <c r="O7" s="56"/>
      <c r="P7" s="56"/>
      <c r="Q7" s="56"/>
      <c r="R7" s="56"/>
      <c r="S7" s="56"/>
      <c r="T7" s="56"/>
      <c r="U7" s="56"/>
      <c r="V7" s="56"/>
      <c r="W7" s="175" t="e">
        <f>AVERAGE(M7:T7)</f>
        <v>#DIV/0!</v>
      </c>
      <c r="X7" s="174"/>
      <c r="Y7" s="56"/>
      <c r="Z7" s="56"/>
      <c r="AA7" s="56"/>
      <c r="AB7" s="56"/>
      <c r="AC7" s="56"/>
      <c r="AD7" s="56"/>
      <c r="AE7" s="56"/>
      <c r="AF7" s="56"/>
      <c r="AG7" s="56"/>
      <c r="AH7" s="175" t="str">
        <f>+IFERROR(AVERAGE(X7:AE7),"-")</f>
        <v>-</v>
      </c>
      <c r="AI7" s="174"/>
      <c r="AJ7" s="67"/>
      <c r="AK7" s="67"/>
      <c r="AL7" s="67"/>
      <c r="AM7" s="67"/>
      <c r="AN7" s="67"/>
      <c r="AO7" s="67"/>
      <c r="AP7" s="67"/>
      <c r="AQ7" s="56"/>
      <c r="AR7" s="56"/>
      <c r="AS7" s="175" t="str">
        <f>+IFERROR(AVERAGE(AI7:AP7),"-")</f>
        <v>-</v>
      </c>
      <c r="AT7" s="184" t="s">
        <v>225</v>
      </c>
      <c r="AU7" s="26" t="str">
        <f>IFERROR(IF(W7&gt;=0.9,1,(W7*100%)/0.9),"-")</f>
        <v>-</v>
      </c>
      <c r="AV7" s="26" t="str">
        <f>IFERROR((AH7*100%)/$I$7,"-")</f>
        <v>-</v>
      </c>
      <c r="AW7" s="26" t="str">
        <f>IFERROR((AS7*100%)/$I$7,"-")</f>
        <v>-</v>
      </c>
      <c r="AX7" s="185" t="str">
        <f>IFERROR(AVERAGE(AT7:AW7),"-")</f>
        <v>-</v>
      </c>
      <c r="AY7" s="189"/>
      <c r="AZ7" s="35"/>
      <c r="BA7" s="36"/>
      <c r="BB7" s="190"/>
    </row>
    <row r="8" spans="1:54" ht="27" customHeight="1" thickBot="1" x14ac:dyDescent="0.3">
      <c r="A8" s="501" t="s">
        <v>293</v>
      </c>
      <c r="B8" s="502"/>
      <c r="C8" s="502"/>
      <c r="D8" s="502"/>
      <c r="E8" s="502"/>
      <c r="F8" s="502"/>
      <c r="G8" s="502"/>
      <c r="H8" s="502"/>
      <c r="I8" s="502"/>
      <c r="J8" s="503"/>
      <c r="K8" s="503"/>
      <c r="L8" s="504"/>
      <c r="M8" s="198" t="str">
        <f t="shared" ref="M8:T8" si="0">IFERROR(AVERAGE(M7:M7),"-")</f>
        <v>-</v>
      </c>
      <c r="N8" s="199" t="str">
        <f t="shared" si="0"/>
        <v>-</v>
      </c>
      <c r="O8" s="199" t="str">
        <f t="shared" si="0"/>
        <v>-</v>
      </c>
      <c r="P8" s="199" t="str">
        <f t="shared" si="0"/>
        <v>-</v>
      </c>
      <c r="Q8" s="199" t="str">
        <f t="shared" si="0"/>
        <v>-</v>
      </c>
      <c r="R8" s="199" t="str">
        <f t="shared" si="0"/>
        <v>-</v>
      </c>
      <c r="S8" s="199" t="str">
        <f t="shared" si="0"/>
        <v>-</v>
      </c>
      <c r="T8" s="251" t="str">
        <f t="shared" si="0"/>
        <v>-</v>
      </c>
      <c r="U8" s="252"/>
      <c r="V8" s="142"/>
      <c r="W8" s="473" t="str">
        <f t="shared" ref="W8:AE8" si="1">IFERROR(AVERAGE(W7:W7),"-")</f>
        <v>-</v>
      </c>
      <c r="X8" s="198" t="str">
        <f t="shared" si="1"/>
        <v>-</v>
      </c>
      <c r="Y8" s="199" t="str">
        <f t="shared" si="1"/>
        <v>-</v>
      </c>
      <c r="Z8" s="199" t="str">
        <f t="shared" si="1"/>
        <v>-</v>
      </c>
      <c r="AA8" s="199" t="str">
        <f t="shared" si="1"/>
        <v>-</v>
      </c>
      <c r="AB8" s="199" t="str">
        <f t="shared" si="1"/>
        <v>-</v>
      </c>
      <c r="AC8" s="199" t="str">
        <f t="shared" si="1"/>
        <v>-</v>
      </c>
      <c r="AD8" s="199" t="str">
        <f t="shared" si="1"/>
        <v>-</v>
      </c>
      <c r="AE8" s="199" t="str">
        <f t="shared" si="1"/>
        <v>-</v>
      </c>
      <c r="AF8" s="252"/>
      <c r="AG8" s="142"/>
      <c r="AH8" s="473" t="str">
        <f t="shared" ref="AH8:AP8" si="2">IFERROR(AVERAGE(AH7:AH7),"-")</f>
        <v>-</v>
      </c>
      <c r="AI8" s="198" t="str">
        <f t="shared" si="2"/>
        <v>-</v>
      </c>
      <c r="AJ8" s="199" t="str">
        <f t="shared" si="2"/>
        <v>-</v>
      </c>
      <c r="AK8" s="199" t="str">
        <f t="shared" si="2"/>
        <v>-</v>
      </c>
      <c r="AL8" s="199" t="str">
        <f t="shared" si="2"/>
        <v>-</v>
      </c>
      <c r="AM8" s="199" t="str">
        <f t="shared" si="2"/>
        <v>-</v>
      </c>
      <c r="AN8" s="199" t="str">
        <f t="shared" si="2"/>
        <v>-</v>
      </c>
      <c r="AO8" s="199" t="str">
        <f t="shared" si="2"/>
        <v>-</v>
      </c>
      <c r="AP8" s="199" t="str">
        <f t="shared" si="2"/>
        <v>-</v>
      </c>
      <c r="AQ8" s="252"/>
      <c r="AR8" s="142"/>
      <c r="AS8" s="473" t="str">
        <f t="shared" ref="AS8:AX8" si="3">IFERROR(AVERAGE(AS7:AS7),"-")</f>
        <v>-</v>
      </c>
      <c r="AT8" s="198" t="str">
        <f t="shared" si="3"/>
        <v>-</v>
      </c>
      <c r="AU8" s="199" t="str">
        <f t="shared" si="3"/>
        <v>-</v>
      </c>
      <c r="AV8" s="199" t="str">
        <f t="shared" si="3"/>
        <v>-</v>
      </c>
      <c r="AW8" s="69" t="str">
        <f t="shared" si="3"/>
        <v>-</v>
      </c>
      <c r="AX8" s="558" t="str">
        <f t="shared" si="3"/>
        <v>-</v>
      </c>
      <c r="AY8" s="193"/>
      <c r="AZ8" s="194"/>
      <c r="BA8" s="195"/>
      <c r="BB8" s="196"/>
    </row>
    <row r="9" spans="1:54" ht="27" thickBot="1" x14ac:dyDescent="0.3">
      <c r="A9" s="29"/>
      <c r="B9" s="29"/>
      <c r="C9" s="29"/>
      <c r="D9" s="29"/>
      <c r="E9" s="29"/>
      <c r="F9" s="38"/>
      <c r="G9" s="29"/>
      <c r="H9" s="29"/>
      <c r="I9" s="29"/>
      <c r="J9" s="29"/>
      <c r="K9" s="29"/>
      <c r="L9" s="29"/>
      <c r="M9" s="224"/>
      <c r="N9" s="201"/>
      <c r="O9" s="201"/>
      <c r="P9" s="201"/>
      <c r="Q9" s="201"/>
      <c r="R9" s="201"/>
      <c r="S9" s="201"/>
      <c r="T9" s="208"/>
      <c r="U9" s="253"/>
      <c r="V9" s="214" t="s">
        <v>295</v>
      </c>
      <c r="W9" s="474"/>
      <c r="X9" s="222"/>
      <c r="Y9" s="201"/>
      <c r="Z9" s="201"/>
      <c r="AA9" s="201"/>
      <c r="AB9" s="201"/>
      <c r="AC9" s="201"/>
      <c r="AD9" s="201"/>
      <c r="AE9" s="208"/>
      <c r="AF9" s="253"/>
      <c r="AG9" s="214" t="s">
        <v>296</v>
      </c>
      <c r="AH9" s="474"/>
      <c r="AI9" s="222"/>
      <c r="AJ9" s="201"/>
      <c r="AK9" s="201"/>
      <c r="AL9" s="201"/>
      <c r="AM9" s="201"/>
      <c r="AN9" s="201"/>
      <c r="AO9" s="201"/>
      <c r="AP9" s="208"/>
      <c r="AQ9" s="253"/>
      <c r="AR9" s="214" t="s">
        <v>297</v>
      </c>
      <c r="AS9" s="474"/>
      <c r="AT9" s="200"/>
      <c r="AU9" s="201"/>
      <c r="AV9" s="202"/>
      <c r="AW9" s="186" t="s">
        <v>294</v>
      </c>
      <c r="AX9" s="559"/>
      <c r="AY9" s="29"/>
      <c r="AZ9" s="29"/>
      <c r="BA9" s="29"/>
      <c r="BB9" s="29"/>
    </row>
  </sheetData>
  <mergeCells count="35">
    <mergeCell ref="A1:B1"/>
    <mergeCell ref="C1:AY1"/>
    <mergeCell ref="AZ1:BB2"/>
    <mergeCell ref="A2:B3"/>
    <mergeCell ref="C2:AY3"/>
    <mergeCell ref="AZ3:BB3"/>
    <mergeCell ref="A4:D4"/>
    <mergeCell ref="A5:A6"/>
    <mergeCell ref="B5:B6"/>
    <mergeCell ref="C5:C6"/>
    <mergeCell ref="D5:D6"/>
    <mergeCell ref="AY5:BB5"/>
    <mergeCell ref="AR5:AR6"/>
    <mergeCell ref="AS8:AS9"/>
    <mergeCell ref="AX8:AX9"/>
    <mergeCell ref="L5:L6"/>
    <mergeCell ref="U5:U6"/>
    <mergeCell ref="V5:V6"/>
    <mergeCell ref="AF5:AF6"/>
    <mergeCell ref="AG5:AG6"/>
    <mergeCell ref="AQ5:AQ6"/>
    <mergeCell ref="W5:W6"/>
    <mergeCell ref="AH5:AH6"/>
    <mergeCell ref="AH8:AH9"/>
    <mergeCell ref="A8:L8"/>
    <mergeCell ref="W8:W9"/>
    <mergeCell ref="AS5:AS6"/>
    <mergeCell ref="AT5:AX5"/>
    <mergeCell ref="E5:E6"/>
    <mergeCell ref="F5:F6"/>
    <mergeCell ref="G5:G6"/>
    <mergeCell ref="H5:H6"/>
    <mergeCell ref="I5:I6"/>
    <mergeCell ref="J5:J6"/>
    <mergeCell ref="K5:K6"/>
  </mergeCells>
  <conditionalFormatting sqref="AX8 AT7:AX7">
    <cfRule type="cellIs" dxfId="44" priority="1" operator="lessThan">
      <formula>0.6</formula>
    </cfRule>
    <cfRule type="cellIs" dxfId="43" priority="2" operator="between">
      <formula>60%</formula>
      <formula>79%</formula>
    </cfRule>
    <cfRule type="cellIs" dxfId="42" priority="3" operator="between">
      <formula>80%</formula>
      <formula>100%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topLeftCell="A4" zoomScale="70" zoomScaleNormal="70" workbookViewId="0">
      <selection activeCell="Q8" sqref="Q8:Q9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3.140625" customWidth="1"/>
    <col min="7" max="7" width="14" customWidth="1"/>
    <col min="8" max="8" width="25.28515625" customWidth="1"/>
    <col min="9" max="11" width="14.42578125" customWidth="1"/>
    <col min="12" max="12" width="15" customWidth="1"/>
    <col min="13" max="16" width="19.42578125" customWidth="1"/>
    <col min="17" max="17" width="40.85546875" customWidth="1"/>
    <col min="18" max="18" width="23.85546875" customWidth="1"/>
    <col min="19" max="19" width="19.42578125" customWidth="1"/>
    <col min="20" max="23" width="19.42578125" hidden="1" customWidth="1"/>
    <col min="24" max="24" width="41" hidden="1" customWidth="1"/>
    <col min="25" max="30" width="19.42578125" hidden="1" customWidth="1"/>
    <col min="31" max="31" width="41" hidden="1" customWidth="1"/>
    <col min="32" max="32" width="21.42578125" hidden="1" customWidth="1"/>
    <col min="33" max="33" width="19.42578125" hidden="1" customWidth="1"/>
    <col min="34" max="38" width="17.7109375" customWidth="1"/>
    <col min="39" max="42" width="26.5703125" customWidth="1"/>
  </cols>
  <sheetData>
    <row r="1" spans="1:42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96"/>
      <c r="AO1" s="496"/>
      <c r="AP1" s="496"/>
    </row>
    <row r="2" spans="1:42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96"/>
      <c r="AO2" s="496"/>
      <c r="AP2" s="496"/>
    </row>
    <row r="3" spans="1:42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97" t="s">
        <v>695</v>
      </c>
      <c r="AO3" s="497"/>
      <c r="AP3" s="497"/>
    </row>
    <row r="4" spans="1:42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29"/>
      <c r="O4" s="29"/>
      <c r="P4" s="29"/>
      <c r="Q4" s="29"/>
      <c r="R4" s="29"/>
      <c r="S4" s="29"/>
      <c r="T4" s="57"/>
      <c r="U4" s="29"/>
      <c r="V4" s="29"/>
      <c r="W4" s="29"/>
      <c r="X4" s="29"/>
      <c r="Y4" s="29"/>
      <c r="Z4" s="29"/>
      <c r="AA4" s="57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</row>
    <row r="5" spans="1:42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172" t="s">
        <v>524</v>
      </c>
      <c r="N5" s="221" t="s">
        <v>525</v>
      </c>
      <c r="O5" s="221" t="s">
        <v>526</v>
      </c>
      <c r="P5" s="221" t="s">
        <v>527</v>
      </c>
      <c r="Q5" s="548" t="s">
        <v>447</v>
      </c>
      <c r="R5" s="494" t="s">
        <v>448</v>
      </c>
      <c r="S5" s="485" t="s">
        <v>540</v>
      </c>
      <c r="T5" s="172" t="s">
        <v>330</v>
      </c>
      <c r="U5" s="221" t="s">
        <v>525</v>
      </c>
      <c r="V5" s="221" t="s">
        <v>526</v>
      </c>
      <c r="W5" s="221" t="s">
        <v>527</v>
      </c>
      <c r="X5" s="548" t="s">
        <v>447</v>
      </c>
      <c r="Y5" s="494" t="s">
        <v>448</v>
      </c>
      <c r="Z5" s="485" t="s">
        <v>543</v>
      </c>
      <c r="AA5" s="172" t="s">
        <v>330</v>
      </c>
      <c r="AB5" s="221" t="s">
        <v>525</v>
      </c>
      <c r="AC5" s="221" t="s">
        <v>526</v>
      </c>
      <c r="AD5" s="221" t="s">
        <v>527</v>
      </c>
      <c r="AE5" s="548" t="s">
        <v>447</v>
      </c>
      <c r="AF5" s="494" t="s">
        <v>448</v>
      </c>
      <c r="AG5" s="485" t="s">
        <v>544</v>
      </c>
      <c r="AH5" s="528" t="s">
        <v>11</v>
      </c>
      <c r="AI5" s="529"/>
      <c r="AJ5" s="529"/>
      <c r="AK5" s="529"/>
      <c r="AL5" s="530"/>
      <c r="AM5" s="478" t="s">
        <v>197</v>
      </c>
      <c r="AN5" s="479"/>
      <c r="AO5" s="479"/>
      <c r="AP5" s="480"/>
    </row>
    <row r="6" spans="1:42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4" t="s">
        <v>298</v>
      </c>
      <c r="O6" s="4" t="s">
        <v>298</v>
      </c>
      <c r="P6" s="4" t="s">
        <v>298</v>
      </c>
      <c r="Q6" s="549"/>
      <c r="R6" s="495"/>
      <c r="S6" s="486"/>
      <c r="T6" s="173" t="s">
        <v>287</v>
      </c>
      <c r="U6" s="4" t="s">
        <v>287</v>
      </c>
      <c r="V6" s="4" t="s">
        <v>287</v>
      </c>
      <c r="W6" s="4" t="s">
        <v>287</v>
      </c>
      <c r="X6" s="549"/>
      <c r="Y6" s="495"/>
      <c r="Z6" s="486"/>
      <c r="AA6" s="173" t="s">
        <v>320</v>
      </c>
      <c r="AB6" s="4" t="s">
        <v>320</v>
      </c>
      <c r="AC6" s="4" t="s">
        <v>320</v>
      </c>
      <c r="AD6" s="4" t="s">
        <v>320</v>
      </c>
      <c r="AE6" s="549"/>
      <c r="AF6" s="495"/>
      <c r="AG6" s="486"/>
      <c r="AH6" s="182" t="s">
        <v>198</v>
      </c>
      <c r="AI6" s="5" t="s">
        <v>199</v>
      </c>
      <c r="AJ6" s="5" t="s">
        <v>200</v>
      </c>
      <c r="AK6" s="5" t="s">
        <v>201</v>
      </c>
      <c r="AL6" s="183" t="s">
        <v>20</v>
      </c>
      <c r="AM6" s="187" t="s">
        <v>202</v>
      </c>
      <c r="AN6" s="33" t="s">
        <v>203</v>
      </c>
      <c r="AO6" s="33" t="s">
        <v>204</v>
      </c>
      <c r="AP6" s="188" t="s">
        <v>205</v>
      </c>
    </row>
    <row r="7" spans="1:42" ht="102" customHeight="1" x14ac:dyDescent="0.25">
      <c r="A7" s="581" t="s">
        <v>357</v>
      </c>
      <c r="B7" s="580" t="s">
        <v>358</v>
      </c>
      <c r="C7" s="580" t="s">
        <v>359</v>
      </c>
      <c r="D7" s="580" t="s">
        <v>360</v>
      </c>
      <c r="E7" s="580" t="s">
        <v>361</v>
      </c>
      <c r="F7" s="574">
        <v>0.6</v>
      </c>
      <c r="G7" s="6" t="s">
        <v>363</v>
      </c>
      <c r="H7" s="97" t="s">
        <v>365</v>
      </c>
      <c r="I7" s="93" t="s">
        <v>132</v>
      </c>
      <c r="J7" s="225" t="s">
        <v>546</v>
      </c>
      <c r="K7" s="204" t="s">
        <v>713</v>
      </c>
      <c r="L7" s="210" t="s">
        <v>368</v>
      </c>
      <c r="M7" s="174"/>
      <c r="N7" s="67"/>
      <c r="O7" s="67"/>
      <c r="P7" s="67"/>
      <c r="Q7" s="161"/>
      <c r="R7" s="161"/>
      <c r="S7" s="175" t="e">
        <f>+AVERAGE(M7:R7)</f>
        <v>#DIV/0!</v>
      </c>
      <c r="T7" s="223"/>
      <c r="U7" s="67"/>
      <c r="V7" s="67"/>
      <c r="W7" s="67"/>
      <c r="X7" s="161"/>
      <c r="Y7" s="161"/>
      <c r="Z7" s="175" t="str">
        <f>+IFERROR(AVERAGE(S7:Y7),"-")</f>
        <v>-</v>
      </c>
      <c r="AA7" s="174"/>
      <c r="AB7" s="67"/>
      <c r="AC7" s="67"/>
      <c r="AD7" s="67"/>
      <c r="AE7" s="161"/>
      <c r="AF7" s="161"/>
      <c r="AG7" s="175" t="s">
        <v>391</v>
      </c>
      <c r="AH7" s="184" t="s">
        <v>225</v>
      </c>
      <c r="AI7" s="26" t="str">
        <f>IFERROR(IF(S7&gt;=0.8,1,(S7*100%)/0.8),"-")</f>
        <v>-</v>
      </c>
      <c r="AJ7" s="26" t="str">
        <f>IFERROR((T7*100%)/I7,"-")</f>
        <v>-</v>
      </c>
      <c r="AK7" s="26" t="str">
        <f>IFERROR((AG7*100%)/$I$7,"-")</f>
        <v>-</v>
      </c>
      <c r="AL7" s="185" t="str">
        <f>IFERROR(AVERAGE(AH7:AK7),"-")</f>
        <v>-</v>
      </c>
      <c r="AM7" s="189"/>
      <c r="AN7" s="35"/>
      <c r="AO7" s="36"/>
      <c r="AP7" s="190"/>
    </row>
    <row r="8" spans="1:42" ht="125.25" customHeight="1" x14ac:dyDescent="0.25">
      <c r="A8" s="582"/>
      <c r="B8" s="556"/>
      <c r="C8" s="556"/>
      <c r="D8" s="556"/>
      <c r="E8" s="556"/>
      <c r="F8" s="557"/>
      <c r="G8" s="6" t="s">
        <v>690</v>
      </c>
      <c r="H8" s="97" t="s">
        <v>366</v>
      </c>
      <c r="I8" s="93" t="s">
        <v>362</v>
      </c>
      <c r="J8" s="225" t="s">
        <v>547</v>
      </c>
      <c r="K8" s="204" t="s">
        <v>714</v>
      </c>
      <c r="L8" s="210" t="s">
        <v>368</v>
      </c>
      <c r="M8" s="174"/>
      <c r="N8" s="7"/>
      <c r="O8" s="7"/>
      <c r="P8" s="7"/>
      <c r="Q8" s="161"/>
      <c r="R8" s="17"/>
      <c r="S8" s="175" t="e">
        <f>+AVERAGE(M8:R8)</f>
        <v>#DIV/0!</v>
      </c>
      <c r="T8" s="223" t="str">
        <f>+IFERROR(AVERAGE(M8:S8),"-")</f>
        <v>-</v>
      </c>
      <c r="U8" s="7" t="s">
        <v>225</v>
      </c>
      <c r="V8" s="7" t="s">
        <v>225</v>
      </c>
      <c r="W8" s="7" t="s">
        <v>225</v>
      </c>
      <c r="X8" s="161" t="s">
        <v>522</v>
      </c>
      <c r="Y8" s="17"/>
      <c r="Z8" s="175" t="str">
        <f>+IFERROR(AVERAGE(S8:Y8),"-")</f>
        <v>-</v>
      </c>
      <c r="AA8" s="174"/>
      <c r="AB8" s="7"/>
      <c r="AC8" s="7"/>
      <c r="AD8" s="7"/>
      <c r="AE8" s="161" t="s">
        <v>522</v>
      </c>
      <c r="AF8" s="17"/>
      <c r="AG8" s="175" t="str">
        <f>+IFERROR(AVERAGE(Z8:AF8),"-")</f>
        <v>-</v>
      </c>
      <c r="AH8" s="184" t="s">
        <v>225</v>
      </c>
      <c r="AI8" s="26" t="str">
        <f>IFERROR((S8*100%)/$I$8,"-")</f>
        <v>-</v>
      </c>
      <c r="AJ8" s="26" t="str">
        <f>IFERROR((Z8*100%)/$I$8,"-")</f>
        <v>-</v>
      </c>
      <c r="AK8" s="26" t="str">
        <f>IFERROR((AG8*100%)/$I$8,"-")</f>
        <v>-</v>
      </c>
      <c r="AL8" s="185" t="str">
        <f>IFERROR(AVERAGE(AH8:AK8),"-")</f>
        <v>-</v>
      </c>
      <c r="AM8" s="191"/>
      <c r="AN8" s="30"/>
      <c r="AO8" s="28"/>
      <c r="AP8" s="192"/>
    </row>
    <row r="9" spans="1:42" ht="108.75" customHeight="1" x14ac:dyDescent="0.25">
      <c r="A9" s="583"/>
      <c r="B9" s="584"/>
      <c r="C9" s="584"/>
      <c r="D9" s="584"/>
      <c r="E9" s="584"/>
      <c r="F9" s="585"/>
      <c r="G9" s="98" t="s">
        <v>364</v>
      </c>
      <c r="H9" s="95" t="s">
        <v>367</v>
      </c>
      <c r="I9" s="93" t="s">
        <v>132</v>
      </c>
      <c r="J9" s="225" t="s">
        <v>546</v>
      </c>
      <c r="K9" s="204" t="s">
        <v>713</v>
      </c>
      <c r="L9" s="210" t="s">
        <v>368</v>
      </c>
      <c r="M9" s="174"/>
      <c r="N9" s="7"/>
      <c r="O9" s="7"/>
      <c r="P9" s="7"/>
      <c r="Q9" s="162"/>
      <c r="R9" s="162"/>
      <c r="S9" s="175" t="e">
        <f>+AVERAGE(M9:R9)</f>
        <v>#DIV/0!</v>
      </c>
      <c r="T9" s="223" t="str">
        <f>+IFERROR(AVERAGE(M9:S9),"-")</f>
        <v>-</v>
      </c>
      <c r="U9" s="7" t="s">
        <v>225</v>
      </c>
      <c r="V9" s="7" t="s">
        <v>225</v>
      </c>
      <c r="W9" s="7" t="s">
        <v>225</v>
      </c>
      <c r="X9" s="162" t="s">
        <v>523</v>
      </c>
      <c r="Y9" s="162"/>
      <c r="Z9" s="175" t="str">
        <f>+IFERROR(AVERAGE(S9:Y9),"-")</f>
        <v>-</v>
      </c>
      <c r="AA9" s="174"/>
      <c r="AB9" s="56"/>
      <c r="AC9" s="7"/>
      <c r="AD9" s="7"/>
      <c r="AE9" s="162" t="s">
        <v>523</v>
      </c>
      <c r="AF9" s="162"/>
      <c r="AG9" s="175" t="str">
        <f>+IFERROR(AVERAGE(Z9:AF9),"-")</f>
        <v>-</v>
      </c>
      <c r="AH9" s="184" t="s">
        <v>225</v>
      </c>
      <c r="AI9" s="26" t="str">
        <f>IFERROR(IF(S9&gt;=0.8,1,(S9*100%)/0.8),"-")</f>
        <v>-</v>
      </c>
      <c r="AJ9" s="26" t="str">
        <f>IFERROR((Z9*100%)/$I$9,"-")</f>
        <v>-</v>
      </c>
      <c r="AK9" s="26" t="str">
        <f>IFERROR((AG9*100%)/$I$9,"-")</f>
        <v>-</v>
      </c>
      <c r="AL9" s="185" t="str">
        <f>IFERROR(AVERAGE(AH9:AK9),"-")</f>
        <v>-</v>
      </c>
      <c r="AM9" s="191"/>
      <c r="AN9" s="30"/>
      <c r="AO9" s="28"/>
      <c r="AP9" s="220"/>
    </row>
    <row r="10" spans="1:42" ht="26.25" thickBot="1" x14ac:dyDescent="0.3">
      <c r="A10" s="501" t="s">
        <v>293</v>
      </c>
      <c r="B10" s="502"/>
      <c r="C10" s="502"/>
      <c r="D10" s="502"/>
      <c r="E10" s="502"/>
      <c r="F10" s="502"/>
      <c r="G10" s="502"/>
      <c r="H10" s="502"/>
      <c r="I10" s="502"/>
      <c r="J10" s="503"/>
      <c r="K10" s="503"/>
      <c r="L10" s="504"/>
      <c r="M10" s="198" t="str">
        <f t="shared" ref="M10:AH10" si="0">IFERROR(AVERAGE(M7:M9),"-")</f>
        <v>-</v>
      </c>
      <c r="N10" s="199" t="str">
        <f t="shared" si="0"/>
        <v>-</v>
      </c>
      <c r="O10" s="199" t="str">
        <f t="shared" si="0"/>
        <v>-</v>
      </c>
      <c r="P10" s="199" t="str">
        <f t="shared" si="0"/>
        <v>-</v>
      </c>
      <c r="Q10" s="178"/>
      <c r="R10" s="142"/>
      <c r="S10" s="473" t="str">
        <f t="shared" si="0"/>
        <v>-</v>
      </c>
      <c r="T10" s="198" t="str">
        <f t="shared" si="0"/>
        <v>-</v>
      </c>
      <c r="U10" s="199" t="str">
        <f t="shared" si="0"/>
        <v>-</v>
      </c>
      <c r="V10" s="199" t="str">
        <f t="shared" si="0"/>
        <v>-</v>
      </c>
      <c r="W10" s="199" t="str">
        <f t="shared" si="0"/>
        <v>-</v>
      </c>
      <c r="X10" s="178"/>
      <c r="Y10" s="142"/>
      <c r="Z10" s="473" t="str">
        <f t="shared" si="0"/>
        <v>-</v>
      </c>
      <c r="AA10" s="198" t="str">
        <f t="shared" si="0"/>
        <v>-</v>
      </c>
      <c r="AB10" s="199" t="str">
        <f t="shared" si="0"/>
        <v>-</v>
      </c>
      <c r="AC10" s="199" t="str">
        <f t="shared" si="0"/>
        <v>-</v>
      </c>
      <c r="AD10" s="199" t="str">
        <f t="shared" si="0"/>
        <v>-</v>
      </c>
      <c r="AE10" s="178"/>
      <c r="AF10" s="142"/>
      <c r="AG10" s="473" t="str">
        <f t="shared" si="0"/>
        <v>-</v>
      </c>
      <c r="AH10" s="198" t="str">
        <f t="shared" si="0"/>
        <v>-</v>
      </c>
      <c r="AI10" s="199" t="str">
        <f>IFERROR(AVERAGE(AI8:AI9),"-")</f>
        <v>-</v>
      </c>
      <c r="AJ10" s="199" t="str">
        <f>IFERROR(AVERAGE(AJ7:AJ9),"-")</f>
        <v>-</v>
      </c>
      <c r="AK10" s="69" t="str">
        <f>IFERROR(AVERAGE(AK7:AK9),"-")</f>
        <v>-</v>
      </c>
      <c r="AL10" s="577" t="str">
        <f>IFERROR(AVERAGE(AL7:AL9),"-")</f>
        <v>-</v>
      </c>
      <c r="AM10" s="193"/>
      <c r="AN10" s="194"/>
      <c r="AO10" s="195"/>
      <c r="AP10" s="196"/>
    </row>
    <row r="11" spans="1:42" ht="27" thickBot="1" x14ac:dyDescent="0.3">
      <c r="A11" s="29"/>
      <c r="B11" s="29"/>
      <c r="C11" s="29"/>
      <c r="D11" s="29"/>
      <c r="E11" s="29"/>
      <c r="F11" s="38"/>
      <c r="G11" s="29"/>
      <c r="H11" s="29"/>
      <c r="I11" s="29"/>
      <c r="J11" s="29"/>
      <c r="K11" s="29"/>
      <c r="L11" s="29"/>
      <c r="M11" s="224"/>
      <c r="N11" s="201"/>
      <c r="O11" s="201"/>
      <c r="P11" s="201"/>
      <c r="Q11" s="202"/>
      <c r="R11" s="214" t="s">
        <v>455</v>
      </c>
      <c r="S11" s="474"/>
      <c r="T11" s="222"/>
      <c r="U11" s="201"/>
      <c r="V11" s="201"/>
      <c r="W11" s="201"/>
      <c r="X11" s="202"/>
      <c r="Y11" s="214" t="s">
        <v>296</v>
      </c>
      <c r="Z11" s="474"/>
      <c r="AA11" s="222"/>
      <c r="AB11" s="201"/>
      <c r="AC11" s="201"/>
      <c r="AD11" s="201"/>
      <c r="AE11" s="202"/>
      <c r="AF11" s="214" t="s">
        <v>454</v>
      </c>
      <c r="AG11" s="474"/>
      <c r="AH11" s="200"/>
      <c r="AI11" s="201"/>
      <c r="AJ11" s="202"/>
      <c r="AK11" s="186" t="s">
        <v>294</v>
      </c>
      <c r="AL11" s="578"/>
      <c r="AM11" s="29"/>
      <c r="AN11" s="29"/>
      <c r="AO11" s="29"/>
      <c r="AP11" s="29"/>
    </row>
    <row r="13" spans="1:42" ht="45" x14ac:dyDescent="0.25">
      <c r="H13" s="517" t="s">
        <v>641</v>
      </c>
      <c r="I13" s="517"/>
      <c r="J13" s="517"/>
      <c r="K13" s="517"/>
      <c r="L13" s="314" t="s">
        <v>638</v>
      </c>
      <c r="M13" s="333" t="s">
        <v>639</v>
      </c>
      <c r="N13" s="316" t="s">
        <v>643</v>
      </c>
      <c r="O13" s="316" t="s">
        <v>644</v>
      </c>
      <c r="P13" s="317" t="s">
        <v>642</v>
      </c>
    </row>
    <row r="14" spans="1:42" x14ac:dyDescent="0.25">
      <c r="H14" s="521" t="s">
        <v>363</v>
      </c>
      <c r="I14" s="522"/>
      <c r="J14" s="522"/>
      <c r="K14" s="523"/>
      <c r="L14" s="353" t="str">
        <f>+I7</f>
        <v>&gt;=80%</v>
      </c>
      <c r="M14" s="353">
        <v>0.15</v>
      </c>
      <c r="N14" s="353" t="e">
        <f>+S7</f>
        <v>#DIV/0!</v>
      </c>
      <c r="O14" s="353" t="str">
        <f>IFERROR(IF(N14&gt;=0.8,1,(N14*100%)/0.8),"-")</f>
        <v>-</v>
      </c>
      <c r="P14" s="335" t="str">
        <f>IFERROR(+IF(O14=100%,M14,(+O14*M14)),"-")</f>
        <v>-</v>
      </c>
    </row>
    <row r="15" spans="1:42" x14ac:dyDescent="0.25">
      <c r="H15" s="521" t="s">
        <v>690</v>
      </c>
      <c r="I15" s="522"/>
      <c r="J15" s="522"/>
      <c r="K15" s="523"/>
      <c r="L15" s="353" t="str">
        <f>+I8</f>
        <v>&gt;=1</v>
      </c>
      <c r="M15" s="353">
        <v>0.3</v>
      </c>
      <c r="N15" s="353" t="e">
        <f>+S8</f>
        <v>#DIV/0!</v>
      </c>
      <c r="O15" s="353" t="str">
        <f>IFERROR((N15*100%)/L15,"-")</f>
        <v>-</v>
      </c>
      <c r="P15" s="355" t="str">
        <f>+IFERROR(IF(O15=100%,M15,(+O15*M15)),"-")</f>
        <v>-</v>
      </c>
    </row>
    <row r="16" spans="1:42" x14ac:dyDescent="0.25">
      <c r="H16" s="521" t="s">
        <v>364</v>
      </c>
      <c r="I16" s="522"/>
      <c r="J16" s="522"/>
      <c r="K16" s="523"/>
      <c r="L16" s="353" t="str">
        <f>+I9</f>
        <v>&gt;=80%</v>
      </c>
      <c r="M16" s="353">
        <v>0.15</v>
      </c>
      <c r="N16" s="353" t="e">
        <f>+S9</f>
        <v>#DIV/0!</v>
      </c>
      <c r="O16" s="353" t="str">
        <f>IFERROR(IF(N16&gt;=0.8,1,(N16*100%)/0.8),"-")</f>
        <v>-</v>
      </c>
      <c r="P16" s="355" t="str">
        <f>+IFERROR(IF(O16=100%,M16,(+O16*M16)),"-")</f>
        <v>-</v>
      </c>
    </row>
    <row r="17" spans="13:16" x14ac:dyDescent="0.25">
      <c r="M17" s="354">
        <f>SUM(M14:M16)</f>
        <v>0.6</v>
      </c>
      <c r="P17" s="354">
        <f>IFERROR(SUM(P14:P16),"-")</f>
        <v>0</v>
      </c>
    </row>
  </sheetData>
  <mergeCells count="45">
    <mergeCell ref="H15:K15"/>
    <mergeCell ref="H16:K16"/>
    <mergeCell ref="A10:L10"/>
    <mergeCell ref="AG10:AG11"/>
    <mergeCell ref="AL10:AL11"/>
    <mergeCell ref="F7:F9"/>
    <mergeCell ref="H13:K13"/>
    <mergeCell ref="H14:K14"/>
    <mergeCell ref="H5:H6"/>
    <mergeCell ref="I5:I6"/>
    <mergeCell ref="L5:L6"/>
    <mergeCell ref="S10:S11"/>
    <mergeCell ref="Z10:Z11"/>
    <mergeCell ref="S5:S6"/>
    <mergeCell ref="J5:J6"/>
    <mergeCell ref="Q5:Q6"/>
    <mergeCell ref="R5:R6"/>
    <mergeCell ref="K5:K6"/>
    <mergeCell ref="A7:A9"/>
    <mergeCell ref="B7:B9"/>
    <mergeCell ref="C7:C9"/>
    <mergeCell ref="D7:D9"/>
    <mergeCell ref="E7:E9"/>
    <mergeCell ref="A1:B1"/>
    <mergeCell ref="C1:AM1"/>
    <mergeCell ref="AH5:AL5"/>
    <mergeCell ref="AM5:AP5"/>
    <mergeCell ref="X5:X6"/>
    <mergeCell ref="Y5:Y6"/>
    <mergeCell ref="AE5:AE6"/>
    <mergeCell ref="AF5:AF6"/>
    <mergeCell ref="AN1:AP2"/>
    <mergeCell ref="A2:B3"/>
    <mergeCell ref="C2:AM3"/>
    <mergeCell ref="AN3:AP3"/>
    <mergeCell ref="Z5:Z6"/>
    <mergeCell ref="AG5:AG6"/>
    <mergeCell ref="A5:A6"/>
    <mergeCell ref="B5:B6"/>
    <mergeCell ref="A4:D4"/>
    <mergeCell ref="C5:C6"/>
    <mergeCell ref="D5:D6"/>
    <mergeCell ref="G5:G6"/>
    <mergeCell ref="E5:E6"/>
    <mergeCell ref="F5:F6"/>
  </mergeCells>
  <conditionalFormatting sqref="AL10 AH7:AH9 AJ7:AL9">
    <cfRule type="cellIs" dxfId="41" priority="4" operator="lessThan">
      <formula>0.6</formula>
    </cfRule>
    <cfRule type="cellIs" dxfId="40" priority="5" operator="between">
      <formula>60%</formula>
      <formula>79%</formula>
    </cfRule>
    <cfRule type="cellIs" dxfId="39" priority="6" operator="between">
      <formula>80%</formula>
      <formula>100%</formula>
    </cfRule>
  </conditionalFormatting>
  <conditionalFormatting sqref="AI7:AI9">
    <cfRule type="cellIs" dxfId="38" priority="1" operator="lessThan">
      <formula>0.6</formula>
    </cfRule>
    <cfRule type="cellIs" dxfId="37" priority="2" operator="between">
      <formula>60%</formula>
      <formula>79%</formula>
    </cfRule>
    <cfRule type="cellIs" dxfId="36" priority="3" operator="between">
      <formula>80%</formula>
      <formula>100%</formula>
    </cfRule>
  </conditionalFormatting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zoomScale="70" zoomScaleNormal="70" workbookViewId="0">
      <selection activeCell="G7" sqref="G7:J11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3.140625" customWidth="1"/>
    <col min="7" max="7" width="30.7109375" customWidth="1"/>
    <col min="8" max="8" width="25.28515625" customWidth="1"/>
    <col min="9" max="11" width="14.42578125" customWidth="1"/>
    <col min="12" max="12" width="16.7109375" customWidth="1"/>
    <col min="13" max="13" width="19.42578125" customWidth="1"/>
    <col min="14" max="14" width="24.85546875" customWidth="1"/>
    <col min="15" max="16" width="22.28515625" customWidth="1"/>
    <col min="17" max="17" width="19.42578125" hidden="1" customWidth="1"/>
    <col min="18" max="18" width="24.85546875" hidden="1" customWidth="1"/>
    <col min="19" max="20" width="22.28515625" hidden="1" customWidth="1"/>
    <col min="21" max="21" width="19.42578125" hidden="1" customWidth="1"/>
    <col min="22" max="22" width="24.85546875" hidden="1" customWidth="1"/>
    <col min="23" max="24" width="22.28515625" hidden="1" customWidth="1"/>
    <col min="25" max="29" width="17.7109375" customWidth="1"/>
    <col min="30" max="33" width="26.5703125" customWidth="1"/>
  </cols>
  <sheetData>
    <row r="1" spans="1:33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96"/>
      <c r="AF1" s="496"/>
      <c r="AG1" s="496"/>
    </row>
    <row r="2" spans="1:33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96"/>
      <c r="AF2" s="496"/>
      <c r="AG2" s="496"/>
    </row>
    <row r="3" spans="1:33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97" t="s">
        <v>695</v>
      </c>
      <c r="AF3" s="497"/>
      <c r="AG3" s="497"/>
    </row>
    <row r="4" spans="1:33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29"/>
      <c r="O4" s="29"/>
      <c r="P4" s="29"/>
      <c r="Q4" s="57"/>
      <c r="R4" s="29"/>
      <c r="S4" s="29"/>
      <c r="T4" s="29"/>
      <c r="U4" s="57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ht="57" customHeight="1" x14ac:dyDescent="0.25">
      <c r="A5" s="422" t="s">
        <v>1</v>
      </c>
      <c r="B5" s="422" t="s">
        <v>3</v>
      </c>
      <c r="C5" s="422" t="s">
        <v>194</v>
      </c>
      <c r="D5" s="422" t="s">
        <v>195</v>
      </c>
      <c r="E5" s="422" t="s">
        <v>196</v>
      </c>
      <c r="F5" s="544" t="s">
        <v>230</v>
      </c>
      <c r="G5" s="422" t="s">
        <v>227</v>
      </c>
      <c r="H5" s="422" t="s">
        <v>226</v>
      </c>
      <c r="I5" s="422" t="s">
        <v>8</v>
      </c>
      <c r="J5" s="422" t="s">
        <v>545</v>
      </c>
      <c r="K5" s="422" t="s">
        <v>574</v>
      </c>
      <c r="L5" s="586" t="s">
        <v>9</v>
      </c>
      <c r="M5" s="205" t="s">
        <v>389</v>
      </c>
      <c r="N5" s="548" t="s">
        <v>447</v>
      </c>
      <c r="O5" s="494" t="s">
        <v>448</v>
      </c>
      <c r="P5" s="485" t="s">
        <v>540</v>
      </c>
      <c r="Q5" s="205" t="s">
        <v>389</v>
      </c>
      <c r="R5" s="548" t="s">
        <v>447</v>
      </c>
      <c r="S5" s="494" t="s">
        <v>448</v>
      </c>
      <c r="T5" s="485" t="s">
        <v>543</v>
      </c>
      <c r="U5" s="205" t="s">
        <v>389</v>
      </c>
      <c r="V5" s="548" t="s">
        <v>447</v>
      </c>
      <c r="W5" s="494" t="s">
        <v>448</v>
      </c>
      <c r="X5" s="485" t="s">
        <v>544</v>
      </c>
      <c r="Y5" s="528" t="s">
        <v>11</v>
      </c>
      <c r="Z5" s="529"/>
      <c r="AA5" s="529"/>
      <c r="AB5" s="529"/>
      <c r="AC5" s="530"/>
      <c r="AD5" s="478" t="s">
        <v>197</v>
      </c>
      <c r="AE5" s="479"/>
      <c r="AF5" s="479"/>
      <c r="AG5" s="480"/>
    </row>
    <row r="6" spans="1:33" ht="57" customHeight="1" x14ac:dyDescent="0.25">
      <c r="A6" s="42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576"/>
      <c r="M6" s="173" t="s">
        <v>298</v>
      </c>
      <c r="N6" s="549"/>
      <c r="O6" s="495"/>
      <c r="P6" s="486"/>
      <c r="Q6" s="173" t="s">
        <v>287</v>
      </c>
      <c r="R6" s="549"/>
      <c r="S6" s="495"/>
      <c r="T6" s="486"/>
      <c r="U6" s="173" t="s">
        <v>320</v>
      </c>
      <c r="V6" s="549"/>
      <c r="W6" s="495"/>
      <c r="X6" s="486"/>
      <c r="Y6" s="182" t="s">
        <v>390</v>
      </c>
      <c r="Z6" s="5" t="s">
        <v>199</v>
      </c>
      <c r="AA6" s="5" t="s">
        <v>200</v>
      </c>
      <c r="AB6" s="5" t="s">
        <v>201</v>
      </c>
      <c r="AC6" s="183" t="s">
        <v>20</v>
      </c>
      <c r="AD6" s="187" t="s">
        <v>202</v>
      </c>
      <c r="AE6" s="33" t="s">
        <v>203</v>
      </c>
      <c r="AF6" s="33" t="s">
        <v>204</v>
      </c>
      <c r="AG6" s="188" t="s">
        <v>205</v>
      </c>
    </row>
    <row r="7" spans="1:33" ht="47.25" customHeight="1" x14ac:dyDescent="0.25">
      <c r="A7" s="580" t="s">
        <v>357</v>
      </c>
      <c r="B7" s="580" t="s">
        <v>358</v>
      </c>
      <c r="C7" s="580" t="s">
        <v>382</v>
      </c>
      <c r="D7" s="580" t="s">
        <v>383</v>
      </c>
      <c r="E7" s="580" t="s">
        <v>371</v>
      </c>
      <c r="F7" s="587">
        <v>0.3</v>
      </c>
      <c r="G7" s="123" t="s">
        <v>773</v>
      </c>
      <c r="H7" s="95" t="s">
        <v>774</v>
      </c>
      <c r="I7" s="85">
        <v>0.9</v>
      </c>
      <c r="J7" s="85" t="s">
        <v>549</v>
      </c>
      <c r="K7" s="278" t="s">
        <v>715</v>
      </c>
      <c r="L7" s="204" t="s">
        <v>388</v>
      </c>
      <c r="M7" s="174"/>
      <c r="N7" s="67"/>
      <c r="O7" s="67"/>
      <c r="P7" s="249">
        <f>+M7</f>
        <v>0</v>
      </c>
      <c r="Q7" s="174" t="s">
        <v>452</v>
      </c>
      <c r="R7" s="67"/>
      <c r="S7" s="67"/>
      <c r="T7" s="249" t="str">
        <f>+Q7</f>
        <v>-</v>
      </c>
      <c r="U7" s="174" t="s">
        <v>452</v>
      </c>
      <c r="V7" s="67"/>
      <c r="W7" s="67"/>
      <c r="X7" s="249" t="str">
        <f>+U7</f>
        <v>-</v>
      </c>
      <c r="Y7" s="184" t="s">
        <v>225</v>
      </c>
      <c r="Z7" s="26">
        <f>IFERROR((P7*100%)/I7,"-")</f>
        <v>0</v>
      </c>
      <c r="AA7" s="26" t="str">
        <f>IFERROR((T7*100%)/I7,"-")</f>
        <v>-</v>
      </c>
      <c r="AB7" s="26" t="str">
        <f>IFERROR((X7*100%)/I7,"-")</f>
        <v>-</v>
      </c>
      <c r="AC7" s="185">
        <f>IFERROR(AVERAGE(Y7:AB7),"-")</f>
        <v>0</v>
      </c>
      <c r="AD7" s="189"/>
      <c r="AE7" s="35"/>
      <c r="AF7" s="36"/>
      <c r="AG7" s="190"/>
    </row>
    <row r="8" spans="1:33" ht="47.25" customHeight="1" x14ac:dyDescent="0.25">
      <c r="A8" s="556"/>
      <c r="B8" s="556"/>
      <c r="C8" s="556"/>
      <c r="D8" s="556"/>
      <c r="E8" s="556"/>
      <c r="F8" s="569"/>
      <c r="G8" s="123" t="s">
        <v>775</v>
      </c>
      <c r="H8" s="95" t="s">
        <v>776</v>
      </c>
      <c r="I8" s="85">
        <v>0.9</v>
      </c>
      <c r="J8" s="85" t="s">
        <v>549</v>
      </c>
      <c r="K8" s="278" t="s">
        <v>715</v>
      </c>
      <c r="L8" s="204" t="s">
        <v>388</v>
      </c>
      <c r="M8" s="174"/>
      <c r="N8" s="67"/>
      <c r="O8" s="7"/>
      <c r="P8" s="249">
        <f>+M8</f>
        <v>0</v>
      </c>
      <c r="Q8" s="174" t="s">
        <v>452</v>
      </c>
      <c r="R8" s="67" t="s">
        <v>531</v>
      </c>
      <c r="S8" s="7"/>
      <c r="T8" s="249" t="str">
        <f>+Q8</f>
        <v>-</v>
      </c>
      <c r="U8" s="174" t="s">
        <v>452</v>
      </c>
      <c r="V8" s="67" t="s">
        <v>531</v>
      </c>
      <c r="W8" s="7"/>
      <c r="X8" s="249" t="str">
        <f>+U8</f>
        <v>-</v>
      </c>
      <c r="Y8" s="184" t="s">
        <v>225</v>
      </c>
      <c r="Z8" s="26">
        <f>IFERROR((P8*100%)/I8,"-")</f>
        <v>0</v>
      </c>
      <c r="AA8" s="26" t="str">
        <f>IFERROR((T8*100%)/I8,"-")</f>
        <v>-</v>
      </c>
      <c r="AB8" s="26" t="str">
        <f>IFERROR((X8*100%)/I8,"-")</f>
        <v>-</v>
      </c>
      <c r="AC8" s="185">
        <f>IFERROR(AVERAGE(Y8:AB8),"-")</f>
        <v>0</v>
      </c>
      <c r="AD8" s="191"/>
      <c r="AE8" s="30"/>
      <c r="AF8" s="28"/>
      <c r="AG8" s="192"/>
    </row>
    <row r="9" spans="1:33" ht="47.25" customHeight="1" x14ac:dyDescent="0.25">
      <c r="A9" s="556"/>
      <c r="B9" s="556"/>
      <c r="C9" s="556"/>
      <c r="D9" s="556"/>
      <c r="E9" s="556"/>
      <c r="F9" s="569"/>
      <c r="G9" s="123" t="s">
        <v>385</v>
      </c>
      <c r="H9" s="95" t="s">
        <v>384</v>
      </c>
      <c r="I9" s="85">
        <v>0.9</v>
      </c>
      <c r="J9" s="85" t="s">
        <v>549</v>
      </c>
      <c r="K9" s="278" t="s">
        <v>715</v>
      </c>
      <c r="L9" s="204" t="s">
        <v>388</v>
      </c>
      <c r="M9" s="174"/>
      <c r="N9" s="67"/>
      <c r="O9" s="7"/>
      <c r="P9" s="249">
        <f>+M9</f>
        <v>0</v>
      </c>
      <c r="Q9" s="174" t="s">
        <v>452</v>
      </c>
      <c r="R9" s="67" t="s">
        <v>531</v>
      </c>
      <c r="S9" s="7"/>
      <c r="T9" s="249" t="str">
        <f>+Q9</f>
        <v>-</v>
      </c>
      <c r="U9" s="174" t="s">
        <v>452</v>
      </c>
      <c r="V9" s="67" t="s">
        <v>531</v>
      </c>
      <c r="W9" s="7"/>
      <c r="X9" s="249" t="str">
        <f>+U9</f>
        <v>-</v>
      </c>
      <c r="Y9" s="184" t="s">
        <v>225</v>
      </c>
      <c r="Z9" s="26">
        <f>IFERROR((P9*100%)/I9,"-")</f>
        <v>0</v>
      </c>
      <c r="AA9" s="26" t="str">
        <f>IFERROR((T9*100%)/I9,"-")</f>
        <v>-</v>
      </c>
      <c r="AB9" s="26" t="str">
        <f>IFERROR((X9*100%)/I9,"-")</f>
        <v>-</v>
      </c>
      <c r="AC9" s="185">
        <f>IFERROR(AVERAGE(Y9:AB9),"-")</f>
        <v>0</v>
      </c>
      <c r="AD9" s="191"/>
      <c r="AE9" s="30"/>
      <c r="AF9" s="28"/>
      <c r="AG9" s="192"/>
    </row>
    <row r="10" spans="1:33" ht="62.25" customHeight="1" x14ac:dyDescent="0.25">
      <c r="A10" s="556"/>
      <c r="B10" s="556"/>
      <c r="C10" s="556"/>
      <c r="D10" s="556"/>
      <c r="E10" s="556"/>
      <c r="F10" s="569"/>
      <c r="G10" s="123" t="s">
        <v>395</v>
      </c>
      <c r="H10" s="95" t="s">
        <v>396</v>
      </c>
      <c r="I10" s="85" t="s">
        <v>397</v>
      </c>
      <c r="J10" s="85" t="s">
        <v>559</v>
      </c>
      <c r="K10" s="278" t="s">
        <v>716</v>
      </c>
      <c r="L10" s="204" t="s">
        <v>388</v>
      </c>
      <c r="M10" s="174"/>
      <c r="N10" s="67"/>
      <c r="O10" s="7"/>
      <c r="P10" s="249">
        <f>+M10</f>
        <v>0</v>
      </c>
      <c r="Q10" s="174" t="s">
        <v>452</v>
      </c>
      <c r="R10" s="67" t="s">
        <v>529</v>
      </c>
      <c r="S10" s="7"/>
      <c r="T10" s="249" t="str">
        <f>+Q10</f>
        <v>-</v>
      </c>
      <c r="U10" s="174" t="s">
        <v>452</v>
      </c>
      <c r="V10" s="67" t="s">
        <v>529</v>
      </c>
      <c r="W10" s="7"/>
      <c r="X10" s="249" t="str">
        <f>+U10</f>
        <v>-</v>
      </c>
      <c r="Y10" s="184" t="s">
        <v>225</v>
      </c>
      <c r="Z10" s="26">
        <f>IFERROR(IF(P10&gt;=0.9,1,(P10*100%)/0.9),"-")</f>
        <v>0</v>
      </c>
      <c r="AA10" s="26" t="str">
        <f>IFERROR((T10*100%)/I10,"-")</f>
        <v>-</v>
      </c>
      <c r="AB10" s="26" t="str">
        <f>IFERROR((X10*100%)/I10,"-")</f>
        <v>-</v>
      </c>
      <c r="AC10" s="185">
        <f>IFERROR(AVERAGE(Y10:AB10),"-")</f>
        <v>0</v>
      </c>
      <c r="AD10" s="191"/>
      <c r="AE10" s="30"/>
      <c r="AF10" s="28"/>
      <c r="AG10" s="192"/>
    </row>
    <row r="11" spans="1:33" ht="60.75" customHeight="1" x14ac:dyDescent="0.25">
      <c r="A11" s="556"/>
      <c r="B11" s="556"/>
      <c r="C11" s="556"/>
      <c r="D11" s="556"/>
      <c r="E11" s="556"/>
      <c r="F11" s="569"/>
      <c r="G11" s="123" t="s">
        <v>398</v>
      </c>
      <c r="H11" s="95" t="s">
        <v>119</v>
      </c>
      <c r="I11" s="85" t="s">
        <v>397</v>
      </c>
      <c r="J11" s="85" t="s">
        <v>559</v>
      </c>
      <c r="K11" s="278" t="s">
        <v>716</v>
      </c>
      <c r="L11" s="204" t="s">
        <v>388</v>
      </c>
      <c r="M11" s="174"/>
      <c r="N11" s="67"/>
      <c r="O11" s="7"/>
      <c r="P11" s="249">
        <f>+M11</f>
        <v>0</v>
      </c>
      <c r="Q11" s="174" t="s">
        <v>452</v>
      </c>
      <c r="R11" s="67" t="s">
        <v>530</v>
      </c>
      <c r="S11" s="7"/>
      <c r="T11" s="249" t="str">
        <f>+Q11</f>
        <v>-</v>
      </c>
      <c r="U11" s="174" t="s">
        <v>452</v>
      </c>
      <c r="V11" s="67" t="s">
        <v>530</v>
      </c>
      <c r="W11" s="7"/>
      <c r="X11" s="249" t="str">
        <f>+U11</f>
        <v>-</v>
      </c>
      <c r="Y11" s="184" t="s">
        <v>225</v>
      </c>
      <c r="Z11" s="26">
        <f>IFERROR(IF(P11&gt;=0.9,1,(P11*100%)/0.9),"-")</f>
        <v>0</v>
      </c>
      <c r="AA11" s="26" t="str">
        <f>IFERROR((T11*100%)/I11,"-")</f>
        <v>-</v>
      </c>
      <c r="AB11" s="26" t="str">
        <f>IFERROR((X11*100%)/I11,"-")</f>
        <v>-</v>
      </c>
      <c r="AC11" s="185">
        <f>IFERROR(AVERAGE(Y11:AB11),"-")</f>
        <v>0</v>
      </c>
      <c r="AD11" s="191"/>
      <c r="AE11" s="30"/>
      <c r="AF11" s="28"/>
      <c r="AG11" s="220"/>
    </row>
    <row r="12" spans="1:33" ht="26.25" thickBot="1" x14ac:dyDescent="0.3">
      <c r="A12" s="539" t="s">
        <v>293</v>
      </c>
      <c r="B12" s="539"/>
      <c r="C12" s="539"/>
      <c r="D12" s="539"/>
      <c r="E12" s="539"/>
      <c r="F12" s="539"/>
      <c r="G12" s="539"/>
      <c r="H12" s="539"/>
      <c r="I12" s="539"/>
      <c r="J12" s="539"/>
      <c r="K12" s="588"/>
      <c r="L12" s="588"/>
      <c r="M12" s="215" t="str">
        <f>+IFERROR(AVERAGE(M7:M11),"-")</f>
        <v>-</v>
      </c>
      <c r="N12" s="178"/>
      <c r="O12" s="142"/>
      <c r="P12" s="473">
        <f>IFERROR(AVERAGE(P7:P11),"-")</f>
        <v>0</v>
      </c>
      <c r="Q12" s="215" t="str">
        <f>+IFERROR(AVERAGE(Q7:Q11),"-")</f>
        <v>-</v>
      </c>
      <c r="R12" s="178"/>
      <c r="S12" s="142"/>
      <c r="T12" s="473" t="str">
        <f>IFERROR(AVERAGE(T7:T11),"-")</f>
        <v>-</v>
      </c>
      <c r="U12" s="215" t="str">
        <f>+IFERROR(AVERAGE(U7:U11),"-")</f>
        <v>-</v>
      </c>
      <c r="V12" s="178"/>
      <c r="W12" s="142"/>
      <c r="X12" s="567" t="str">
        <f t="shared" ref="X12:AC12" si="0">IFERROR(AVERAGE(X7:X11),"-")</f>
        <v>-</v>
      </c>
      <c r="Y12" s="198" t="str">
        <f t="shared" si="0"/>
        <v>-</v>
      </c>
      <c r="Z12" s="199">
        <f t="shared" si="0"/>
        <v>0</v>
      </c>
      <c r="AA12" s="199" t="str">
        <f t="shared" si="0"/>
        <v>-</v>
      </c>
      <c r="AB12" s="69" t="str">
        <f t="shared" si="0"/>
        <v>-</v>
      </c>
      <c r="AC12" s="558">
        <f t="shared" si="0"/>
        <v>0</v>
      </c>
      <c r="AD12" s="193"/>
      <c r="AE12" s="194"/>
      <c r="AF12" s="195"/>
      <c r="AG12" s="196"/>
    </row>
    <row r="13" spans="1:33" ht="27" thickBot="1" x14ac:dyDescent="0.3">
      <c r="A13" s="29"/>
      <c r="B13" s="29"/>
      <c r="C13" s="29"/>
      <c r="D13" s="29"/>
      <c r="E13" s="29"/>
      <c r="F13" s="38"/>
      <c r="G13" s="29"/>
      <c r="H13" s="29"/>
      <c r="I13" s="29"/>
      <c r="J13" s="29"/>
      <c r="K13" s="29"/>
      <c r="L13" s="29"/>
      <c r="M13" s="208"/>
      <c r="N13" s="207"/>
      <c r="O13" s="214" t="s">
        <v>321</v>
      </c>
      <c r="P13" s="474"/>
      <c r="Q13" s="206"/>
      <c r="R13" s="207"/>
      <c r="S13" s="214" t="s">
        <v>296</v>
      </c>
      <c r="T13" s="474"/>
      <c r="U13" s="206"/>
      <c r="V13" s="207"/>
      <c r="W13" s="214" t="s">
        <v>297</v>
      </c>
      <c r="X13" s="568"/>
      <c r="Y13" s="200"/>
      <c r="Z13" s="201"/>
      <c r="AA13" s="202"/>
      <c r="AB13" s="186" t="s">
        <v>294</v>
      </c>
      <c r="AC13" s="559"/>
      <c r="AD13" s="29"/>
      <c r="AE13" s="29"/>
      <c r="AF13" s="29"/>
      <c r="AG13" s="29"/>
    </row>
    <row r="14" spans="1:33" ht="30" x14ac:dyDescent="0.25">
      <c r="H14" s="517" t="s">
        <v>641</v>
      </c>
      <c r="I14" s="517"/>
      <c r="J14" s="517"/>
      <c r="K14" s="517"/>
      <c r="L14" s="314" t="s">
        <v>638</v>
      </c>
      <c r="M14" s="333" t="s">
        <v>639</v>
      </c>
      <c r="N14" s="316" t="s">
        <v>643</v>
      </c>
      <c r="O14" s="316" t="s">
        <v>644</v>
      </c>
      <c r="P14" s="317" t="s">
        <v>642</v>
      </c>
    </row>
    <row r="15" spans="1:33" x14ac:dyDescent="0.25">
      <c r="H15" s="521" t="s">
        <v>386</v>
      </c>
      <c r="I15" s="522"/>
      <c r="J15" s="522"/>
      <c r="K15" s="523"/>
      <c r="L15" s="319">
        <f>+I7</f>
        <v>0.9</v>
      </c>
      <c r="M15" s="319">
        <v>0.04</v>
      </c>
      <c r="N15" s="353">
        <f>+P7</f>
        <v>0</v>
      </c>
      <c r="O15" s="353">
        <f>IFERROR((N15*100%)/L15,"-")</f>
        <v>0</v>
      </c>
      <c r="P15" s="335">
        <f>IFERROR(+IF(O15=100%,M15,(+O15*M15)),"-")</f>
        <v>0</v>
      </c>
    </row>
    <row r="16" spans="1:33" x14ac:dyDescent="0.25">
      <c r="H16" s="521" t="s">
        <v>387</v>
      </c>
      <c r="I16" s="522"/>
      <c r="J16" s="522"/>
      <c r="K16" s="523"/>
      <c r="L16" s="319">
        <f>+I8</f>
        <v>0.9</v>
      </c>
      <c r="M16" s="319">
        <v>0.12</v>
      </c>
      <c r="N16" s="353">
        <f>+P8</f>
        <v>0</v>
      </c>
      <c r="O16" s="353">
        <f>IFERROR((N16*100%)/L16,"-")</f>
        <v>0</v>
      </c>
      <c r="P16" s="335">
        <f>IFERROR(+IF(O16=100%,M16,(+O16*M16)),"-")</f>
        <v>0</v>
      </c>
    </row>
    <row r="17" spans="8:16" x14ac:dyDescent="0.25">
      <c r="H17" s="521" t="s">
        <v>385</v>
      </c>
      <c r="I17" s="522"/>
      <c r="J17" s="522"/>
      <c r="K17" s="523"/>
      <c r="L17" s="319">
        <f>+I9</f>
        <v>0.9</v>
      </c>
      <c r="M17" s="319">
        <v>0.04</v>
      </c>
      <c r="N17" s="353">
        <f>+P9</f>
        <v>0</v>
      </c>
      <c r="O17" s="353">
        <f t="shared" ref="O17" si="1">IFERROR((N17*100%)/L17,"-")</f>
        <v>0</v>
      </c>
      <c r="P17" s="335">
        <f>IFERROR(+IF(O17=100%,M17,(+O17*M17)),"-")</f>
        <v>0</v>
      </c>
    </row>
    <row r="18" spans="8:16" x14ac:dyDescent="0.25">
      <c r="H18" s="521" t="s">
        <v>395</v>
      </c>
      <c r="I18" s="522"/>
      <c r="J18" s="522"/>
      <c r="K18" s="523"/>
      <c r="L18" s="319">
        <v>0.9</v>
      </c>
      <c r="M18" s="319">
        <v>0.05</v>
      </c>
      <c r="N18" s="353">
        <f>+P10</f>
        <v>0</v>
      </c>
      <c r="O18" s="353">
        <f>IFERROR(IF(N18&gt;=0.9,1,(N18*100%)/0.9),"-")</f>
        <v>0</v>
      </c>
      <c r="P18" s="335">
        <f>IFERROR(+IF(O18=100%,M18,(+O18*M18)),"-")</f>
        <v>0</v>
      </c>
    </row>
    <row r="19" spans="8:16" x14ac:dyDescent="0.25">
      <c r="H19" s="521" t="s">
        <v>398</v>
      </c>
      <c r="I19" s="522"/>
      <c r="J19" s="522"/>
      <c r="K19" s="523"/>
      <c r="L19" s="319">
        <v>0.9</v>
      </c>
      <c r="M19" s="319">
        <v>0.05</v>
      </c>
      <c r="N19" s="353">
        <f>+P11</f>
        <v>0</v>
      </c>
      <c r="O19" s="353">
        <f>IFERROR(IF(N19&gt;=0.9,1,(N19*100%)/0.9),"-")</f>
        <v>0</v>
      </c>
      <c r="P19" s="335">
        <f>IFERROR(+IF(O19=100%,M19,(+O19*M19)),"-")</f>
        <v>0</v>
      </c>
    </row>
    <row r="20" spans="8:16" x14ac:dyDescent="0.25">
      <c r="L20" s="338"/>
      <c r="M20" s="361">
        <f>SUM(M15:M19)</f>
        <v>0.3</v>
      </c>
      <c r="P20" s="354">
        <f>IFERROR(SUM(P15:P17),"-")</f>
        <v>0</v>
      </c>
    </row>
  </sheetData>
  <mergeCells count="47">
    <mergeCell ref="H19:K19"/>
    <mergeCell ref="H14:K14"/>
    <mergeCell ref="H15:K15"/>
    <mergeCell ref="H16:K16"/>
    <mergeCell ref="H17:K17"/>
    <mergeCell ref="H18:K18"/>
    <mergeCell ref="F7:F11"/>
    <mergeCell ref="F5:F6"/>
    <mergeCell ref="G5:G6"/>
    <mergeCell ref="AC12:AC13"/>
    <mergeCell ref="A12:L12"/>
    <mergeCell ref="P12:P13"/>
    <mergeCell ref="T12:T13"/>
    <mergeCell ref="X12:X13"/>
    <mergeCell ref="N5:N6"/>
    <mergeCell ref="O5:O6"/>
    <mergeCell ref="R5:R6"/>
    <mergeCell ref="S5:S6"/>
    <mergeCell ref="W5:W6"/>
    <mergeCell ref="V5:V6"/>
    <mergeCell ref="K5:K6"/>
    <mergeCell ref="A7:A11"/>
    <mergeCell ref="B7:B11"/>
    <mergeCell ref="C7:C11"/>
    <mergeCell ref="D7:D11"/>
    <mergeCell ref="E7:E11"/>
    <mergeCell ref="AE1:AG2"/>
    <mergeCell ref="A2:B3"/>
    <mergeCell ref="C2:AD3"/>
    <mergeCell ref="AE3:AG3"/>
    <mergeCell ref="A4:D4"/>
    <mergeCell ref="J5:J6"/>
    <mergeCell ref="P5:P6"/>
    <mergeCell ref="T5:T6"/>
    <mergeCell ref="X5:X6"/>
    <mergeCell ref="A1:B1"/>
    <mergeCell ref="C1:AD1"/>
    <mergeCell ref="A5:A6"/>
    <mergeCell ref="B5:B6"/>
    <mergeCell ref="C5:C6"/>
    <mergeCell ref="D5:D6"/>
    <mergeCell ref="Y5:AC5"/>
    <mergeCell ref="AD5:AG5"/>
    <mergeCell ref="H5:H6"/>
    <mergeCell ref="I5:I6"/>
    <mergeCell ref="L5:L6"/>
    <mergeCell ref="E5:E6"/>
  </mergeCells>
  <conditionalFormatting sqref="Y7:Y11 AC8:AC12">
    <cfRule type="cellIs" dxfId="35" priority="10" operator="lessThan">
      <formula>0.6</formula>
    </cfRule>
    <cfRule type="cellIs" dxfId="34" priority="11" operator="between">
      <formula>60%</formula>
      <formula>79%</formula>
    </cfRule>
    <cfRule type="cellIs" dxfId="33" priority="12" operator="between">
      <formula>80%</formula>
      <formula>100%</formula>
    </cfRule>
  </conditionalFormatting>
  <conditionalFormatting sqref="AA7:AC7 AA8:AB11">
    <cfRule type="cellIs" dxfId="32" priority="4" operator="lessThan">
      <formula>0.6</formula>
    </cfRule>
    <cfRule type="cellIs" dxfId="31" priority="5" operator="between">
      <formula>60%</formula>
      <formula>79%</formula>
    </cfRule>
    <cfRule type="cellIs" dxfId="30" priority="6" operator="between">
      <formula>80%</formula>
      <formula>100%</formula>
    </cfRule>
  </conditionalFormatting>
  <conditionalFormatting sqref="Z7:Z11">
    <cfRule type="cellIs" dxfId="29" priority="1" operator="lessThan">
      <formula>0.6</formula>
    </cfRule>
    <cfRule type="cellIs" dxfId="28" priority="2" operator="between">
      <formula>60%</formula>
      <formula>79%</formula>
    </cfRule>
    <cfRule type="cellIs" dxfId="27" priority="3" operator="between">
      <formula>80%</formula>
      <formula>100%</formula>
    </cfRule>
  </conditionalFormatting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topLeftCell="E4" zoomScale="70" zoomScaleNormal="70" workbookViewId="0">
      <selection activeCell="G7" sqref="G7:I9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3.140625" customWidth="1"/>
    <col min="7" max="7" width="21.7109375" customWidth="1"/>
    <col min="8" max="8" width="25.28515625" customWidth="1"/>
    <col min="9" max="11" width="14.42578125" customWidth="1"/>
    <col min="12" max="12" width="16.7109375" customWidth="1"/>
    <col min="13" max="16" width="19.42578125" customWidth="1"/>
    <col min="17" max="18" width="29.85546875" customWidth="1"/>
    <col min="19" max="19" width="19.42578125" customWidth="1"/>
    <col min="20" max="23" width="19.42578125" hidden="1" customWidth="1"/>
    <col min="24" max="25" width="29.85546875" hidden="1" customWidth="1"/>
    <col min="26" max="30" width="19.42578125" hidden="1" customWidth="1"/>
    <col min="31" max="32" width="29.85546875" hidden="1" customWidth="1"/>
    <col min="33" max="33" width="19.42578125" hidden="1" customWidth="1"/>
    <col min="34" max="38" width="17.7109375" customWidth="1"/>
    <col min="39" max="42" width="26.5703125" customWidth="1"/>
  </cols>
  <sheetData>
    <row r="1" spans="1:42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96"/>
      <c r="AO1" s="496"/>
      <c r="AP1" s="496"/>
    </row>
    <row r="2" spans="1:42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96"/>
      <c r="AO2" s="496"/>
      <c r="AP2" s="496"/>
    </row>
    <row r="3" spans="1:42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97" t="s">
        <v>695</v>
      </c>
      <c r="AO3" s="497"/>
      <c r="AP3" s="497"/>
    </row>
    <row r="4" spans="1:42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29"/>
      <c r="O4" s="29"/>
      <c r="P4" s="29"/>
      <c r="Q4" s="29"/>
      <c r="R4" s="29"/>
      <c r="S4" s="29"/>
      <c r="T4" s="57"/>
      <c r="U4" s="29"/>
      <c r="V4" s="29"/>
      <c r="W4" s="29"/>
      <c r="X4" s="29"/>
      <c r="Y4" s="29"/>
      <c r="Z4" s="29"/>
      <c r="AA4" s="57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</row>
    <row r="5" spans="1:42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254" t="s">
        <v>405</v>
      </c>
      <c r="N5" s="255" t="s">
        <v>389</v>
      </c>
      <c r="O5" s="221" t="s">
        <v>406</v>
      </c>
      <c r="P5" s="221" t="s">
        <v>407</v>
      </c>
      <c r="Q5" s="548" t="s">
        <v>447</v>
      </c>
      <c r="R5" s="494" t="s">
        <v>448</v>
      </c>
      <c r="S5" s="485" t="s">
        <v>540</v>
      </c>
      <c r="T5" s="205" t="s">
        <v>405</v>
      </c>
      <c r="U5" s="255" t="s">
        <v>389</v>
      </c>
      <c r="V5" s="221" t="s">
        <v>406</v>
      </c>
      <c r="W5" s="221" t="s">
        <v>407</v>
      </c>
      <c r="X5" s="548" t="s">
        <v>447</v>
      </c>
      <c r="Y5" s="494" t="s">
        <v>448</v>
      </c>
      <c r="Z5" s="485" t="s">
        <v>543</v>
      </c>
      <c r="AA5" s="205" t="s">
        <v>405</v>
      </c>
      <c r="AB5" s="255" t="s">
        <v>389</v>
      </c>
      <c r="AC5" s="221" t="s">
        <v>406</v>
      </c>
      <c r="AD5" s="221" t="s">
        <v>407</v>
      </c>
      <c r="AE5" s="548" t="s">
        <v>447</v>
      </c>
      <c r="AF5" s="494" t="s">
        <v>448</v>
      </c>
      <c r="AG5" s="485" t="s">
        <v>544</v>
      </c>
      <c r="AH5" s="528" t="s">
        <v>11</v>
      </c>
      <c r="AI5" s="529"/>
      <c r="AJ5" s="529"/>
      <c r="AK5" s="529"/>
      <c r="AL5" s="530"/>
      <c r="AM5" s="478" t="s">
        <v>197</v>
      </c>
      <c r="AN5" s="479"/>
      <c r="AO5" s="479"/>
      <c r="AP5" s="480"/>
    </row>
    <row r="6" spans="1:42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4" t="s">
        <v>298</v>
      </c>
      <c r="O6" s="4" t="s">
        <v>298</v>
      </c>
      <c r="P6" s="4" t="s">
        <v>298</v>
      </c>
      <c r="Q6" s="549"/>
      <c r="R6" s="495"/>
      <c r="S6" s="486"/>
      <c r="T6" s="173" t="s">
        <v>287</v>
      </c>
      <c r="U6" s="4" t="s">
        <v>287</v>
      </c>
      <c r="V6" s="4" t="s">
        <v>287</v>
      </c>
      <c r="W6" s="4" t="s">
        <v>287</v>
      </c>
      <c r="X6" s="549"/>
      <c r="Y6" s="495"/>
      <c r="Z6" s="486"/>
      <c r="AA6" s="173" t="s">
        <v>320</v>
      </c>
      <c r="AB6" s="4" t="s">
        <v>320</v>
      </c>
      <c r="AC6" s="4" t="s">
        <v>320</v>
      </c>
      <c r="AD6" s="4" t="s">
        <v>320</v>
      </c>
      <c r="AE6" s="549"/>
      <c r="AF6" s="495"/>
      <c r="AG6" s="486"/>
      <c r="AH6" s="182" t="s">
        <v>198</v>
      </c>
      <c r="AI6" s="5" t="s">
        <v>199</v>
      </c>
      <c r="AJ6" s="5" t="s">
        <v>200</v>
      </c>
      <c r="AK6" s="5" t="s">
        <v>201</v>
      </c>
      <c r="AL6" s="183" t="s">
        <v>20</v>
      </c>
      <c r="AM6" s="187" t="s">
        <v>202</v>
      </c>
      <c r="AN6" s="33" t="s">
        <v>203</v>
      </c>
      <c r="AO6" s="33" t="s">
        <v>204</v>
      </c>
      <c r="AP6" s="188" t="s">
        <v>205</v>
      </c>
    </row>
    <row r="7" spans="1:42" ht="95.25" customHeight="1" x14ac:dyDescent="0.25">
      <c r="A7" s="581" t="s">
        <v>357</v>
      </c>
      <c r="B7" s="580" t="s">
        <v>358</v>
      </c>
      <c r="C7" s="580" t="s">
        <v>359</v>
      </c>
      <c r="D7" s="505" t="s">
        <v>393</v>
      </c>
      <c r="E7" s="580" t="s">
        <v>394</v>
      </c>
      <c r="F7" s="574">
        <v>0.6</v>
      </c>
      <c r="G7" s="362" t="s">
        <v>400</v>
      </c>
      <c r="H7" s="363" t="s">
        <v>401</v>
      </c>
      <c r="I7" s="598" t="s">
        <v>132</v>
      </c>
      <c r="J7" s="225" t="s">
        <v>547</v>
      </c>
      <c r="K7" s="204" t="s">
        <v>717</v>
      </c>
      <c r="L7" s="256" t="s">
        <v>399</v>
      </c>
      <c r="M7" s="364"/>
      <c r="N7" s="67" t="s">
        <v>225</v>
      </c>
      <c r="O7" s="67" t="s">
        <v>225</v>
      </c>
      <c r="P7" s="67" t="s">
        <v>225</v>
      </c>
      <c r="Q7" s="67"/>
      <c r="R7" s="67"/>
      <c r="S7" s="175" t="e">
        <f>+AVERAGE(M7:P7)</f>
        <v>#DIV/0!</v>
      </c>
      <c r="T7" s="174"/>
      <c r="U7" s="67" t="s">
        <v>225</v>
      </c>
      <c r="V7" s="67" t="s">
        <v>225</v>
      </c>
      <c r="W7" s="67" t="s">
        <v>225</v>
      </c>
      <c r="X7" s="67" t="s">
        <v>538</v>
      </c>
      <c r="Y7" s="67"/>
      <c r="Z7" s="175" t="str">
        <f>+IFERROR(AVERAGE(T7:Y7),"-")</f>
        <v>-</v>
      </c>
      <c r="AA7" s="174"/>
      <c r="AB7" s="67" t="s">
        <v>225</v>
      </c>
      <c r="AC7" s="67" t="s">
        <v>225</v>
      </c>
      <c r="AD7" s="67" t="s">
        <v>225</v>
      </c>
      <c r="AE7" s="67" t="s">
        <v>538</v>
      </c>
      <c r="AF7" s="67"/>
      <c r="AG7" s="175" t="str">
        <f>+IFERROR(AVERAGE(AA7:AF7),"-")</f>
        <v>-</v>
      </c>
      <c r="AH7" s="184" t="s">
        <v>225</v>
      </c>
      <c r="AI7" s="26" t="str">
        <f>IFERROR(IF(S7&gt;=0.8,1,(S7*100%)/0.8),"-")</f>
        <v>-</v>
      </c>
      <c r="AJ7" s="26" t="str">
        <f>IFERROR((Z7*100%)/$I$7,"-")</f>
        <v>-</v>
      </c>
      <c r="AK7" s="26" t="str">
        <f>IFERROR((AG7*100%)/$I$7,"-")</f>
        <v>-</v>
      </c>
      <c r="AL7" s="185" t="str">
        <f>IFERROR(AVERAGE(AH7:AK7),"-")</f>
        <v>-</v>
      </c>
      <c r="AM7" s="189"/>
      <c r="AN7" s="35"/>
      <c r="AO7" s="36"/>
      <c r="AP7" s="190"/>
    </row>
    <row r="8" spans="1:42" ht="104.25" customHeight="1" x14ac:dyDescent="0.25">
      <c r="A8" s="582"/>
      <c r="B8" s="506"/>
      <c r="C8" s="556"/>
      <c r="D8" s="506"/>
      <c r="E8" s="556"/>
      <c r="F8" s="557"/>
      <c r="G8" s="365" t="s">
        <v>402</v>
      </c>
      <c r="H8" s="366" t="s">
        <v>403</v>
      </c>
      <c r="I8" s="598" t="s">
        <v>132</v>
      </c>
      <c r="J8" s="225" t="s">
        <v>547</v>
      </c>
      <c r="K8" s="204" t="s">
        <v>717</v>
      </c>
      <c r="L8" s="256" t="s">
        <v>399</v>
      </c>
      <c r="M8" s="233"/>
      <c r="N8" s="367"/>
      <c r="O8" s="367"/>
      <c r="P8" s="367"/>
      <c r="Q8" s="67"/>
      <c r="R8" s="67"/>
      <c r="S8" s="175" t="e">
        <f>+AVERAGE(M8:P8)</f>
        <v>#DIV/0!</v>
      </c>
      <c r="T8" s="174"/>
      <c r="U8" s="7"/>
      <c r="V8" s="7"/>
      <c r="W8" s="7"/>
      <c r="X8" s="67" t="s">
        <v>537</v>
      </c>
      <c r="Y8" s="67"/>
      <c r="Z8" s="175" t="str">
        <f>+IFERROR(AVERAGE(T8:Y8),"-")</f>
        <v>-</v>
      </c>
      <c r="AA8" s="174"/>
      <c r="AB8" s="7"/>
      <c r="AC8" s="7"/>
      <c r="AD8" s="7"/>
      <c r="AE8" s="67" t="s">
        <v>537</v>
      </c>
      <c r="AF8" s="67"/>
      <c r="AG8" s="175" t="str">
        <f>+IFERROR(AVERAGE(AA8:AF8),"-")</f>
        <v>-</v>
      </c>
      <c r="AH8" s="184" t="s">
        <v>225</v>
      </c>
      <c r="AI8" s="26" t="str">
        <f>IFERROR(IF(S8&gt;=0.8,1,(S8*100%)/0.8),"-")</f>
        <v>-</v>
      </c>
      <c r="AJ8" s="26" t="str">
        <f>IFERROR((Z8*100%)/$I$8,"-")</f>
        <v>-</v>
      </c>
      <c r="AK8" s="26" t="str">
        <f>IFERROR((AG8*100%)/$I$8,"-")</f>
        <v>-</v>
      </c>
      <c r="AL8" s="185" t="str">
        <f>IFERROR(AVERAGE(AH8:AK8),"-")</f>
        <v>-</v>
      </c>
      <c r="AM8" s="191"/>
      <c r="AN8" s="30"/>
      <c r="AO8" s="28"/>
      <c r="AP8" s="192"/>
    </row>
    <row r="9" spans="1:42" ht="87" customHeight="1" x14ac:dyDescent="0.25">
      <c r="A9" s="582"/>
      <c r="B9" s="506"/>
      <c r="C9" s="556"/>
      <c r="D9" s="506"/>
      <c r="E9" s="556"/>
      <c r="F9" s="557"/>
      <c r="G9" s="368" t="s">
        <v>404</v>
      </c>
      <c r="H9" s="369" t="s">
        <v>777</v>
      </c>
      <c r="I9" s="93" t="s">
        <v>778</v>
      </c>
      <c r="J9" s="225" t="s">
        <v>559</v>
      </c>
      <c r="K9" s="204" t="s">
        <v>718</v>
      </c>
      <c r="L9" s="256" t="s">
        <v>399</v>
      </c>
      <c r="M9" s="370"/>
      <c r="N9" s="56" t="s">
        <v>225</v>
      </c>
      <c r="O9" s="7" t="s">
        <v>225</v>
      </c>
      <c r="P9" s="7" t="s">
        <v>225</v>
      </c>
      <c r="Q9" s="7"/>
      <c r="R9" s="7"/>
      <c r="S9" s="175" t="e">
        <f>+AVERAGE(M9:P9)</f>
        <v>#DIV/0!</v>
      </c>
      <c r="T9" s="174"/>
      <c r="U9" s="56" t="s">
        <v>225</v>
      </c>
      <c r="V9" s="7" t="s">
        <v>225</v>
      </c>
      <c r="W9" s="7" t="s">
        <v>225</v>
      </c>
      <c r="X9" s="7"/>
      <c r="Y9" s="7"/>
      <c r="Z9" s="175" t="str">
        <f>+IFERROR(AVERAGE(T9:Y9),"-")</f>
        <v>-</v>
      </c>
      <c r="AA9" s="174"/>
      <c r="AB9" s="56" t="s">
        <v>225</v>
      </c>
      <c r="AC9" s="7" t="s">
        <v>225</v>
      </c>
      <c r="AD9" s="7" t="s">
        <v>225</v>
      </c>
      <c r="AE9" s="7"/>
      <c r="AF9" s="7"/>
      <c r="AG9" s="175" t="str">
        <f>+IFERROR(AVERAGE(AA9:AF9),"-")</f>
        <v>-</v>
      </c>
      <c r="AH9" s="184" t="s">
        <v>225</v>
      </c>
      <c r="AI9" s="26" t="str">
        <f>IFERROR(IF(S9&gt;=0.5,0.5/(S9*100%),1),"-")</f>
        <v>-</v>
      </c>
      <c r="AJ9" s="26" t="str">
        <f>IFERROR((Z9*100%)/$I$9,"-")</f>
        <v>-</v>
      </c>
      <c r="AK9" s="26" t="str">
        <f>IFERROR((AG9*100%)/$I$9,"-")</f>
        <v>-</v>
      </c>
      <c r="AL9" s="185" t="str">
        <f>IFERROR(AVERAGE(AH9:AK9),"-")</f>
        <v>-</v>
      </c>
      <c r="AM9" s="191"/>
      <c r="AN9" s="30"/>
      <c r="AO9" s="28"/>
      <c r="AP9" s="220"/>
    </row>
    <row r="10" spans="1:42" ht="26.25" thickBot="1" x14ac:dyDescent="0.3">
      <c r="A10" s="501" t="s">
        <v>293</v>
      </c>
      <c r="B10" s="502"/>
      <c r="C10" s="502"/>
      <c r="D10" s="502"/>
      <c r="E10" s="502"/>
      <c r="F10" s="502"/>
      <c r="G10" s="502"/>
      <c r="H10" s="502"/>
      <c r="I10" s="502"/>
      <c r="J10" s="503"/>
      <c r="K10" s="503"/>
      <c r="L10" s="504"/>
      <c r="M10" s="198" t="str">
        <f t="shared" ref="M10:AL10" si="0">IFERROR(AVERAGE(M7:M9),"-")</f>
        <v>-</v>
      </c>
      <c r="N10" s="199" t="str">
        <f t="shared" si="0"/>
        <v>-</v>
      </c>
      <c r="O10" s="199" t="str">
        <f t="shared" si="0"/>
        <v>-</v>
      </c>
      <c r="P10" s="199" t="str">
        <f t="shared" si="0"/>
        <v>-</v>
      </c>
      <c r="Q10" s="178"/>
      <c r="R10" s="142"/>
      <c r="S10" s="473" t="str">
        <f t="shared" si="0"/>
        <v>-</v>
      </c>
      <c r="T10" s="198" t="str">
        <f t="shared" si="0"/>
        <v>-</v>
      </c>
      <c r="U10" s="199" t="str">
        <f t="shared" si="0"/>
        <v>-</v>
      </c>
      <c r="V10" s="199" t="str">
        <f t="shared" si="0"/>
        <v>-</v>
      </c>
      <c r="W10" s="199" t="str">
        <f t="shared" si="0"/>
        <v>-</v>
      </c>
      <c r="X10" s="178"/>
      <c r="Y10" s="142"/>
      <c r="Z10" s="473" t="str">
        <f t="shared" si="0"/>
        <v>-</v>
      </c>
      <c r="AA10" s="198" t="str">
        <f t="shared" si="0"/>
        <v>-</v>
      </c>
      <c r="AB10" s="199" t="str">
        <f t="shared" si="0"/>
        <v>-</v>
      </c>
      <c r="AC10" s="199" t="str">
        <f t="shared" si="0"/>
        <v>-</v>
      </c>
      <c r="AD10" s="199" t="str">
        <f t="shared" si="0"/>
        <v>-</v>
      </c>
      <c r="AE10" s="178"/>
      <c r="AF10" s="142"/>
      <c r="AG10" s="473" t="str">
        <f t="shared" si="0"/>
        <v>-</v>
      </c>
      <c r="AH10" s="198" t="str">
        <f t="shared" si="0"/>
        <v>-</v>
      </c>
      <c r="AI10" s="199" t="str">
        <f t="shared" si="0"/>
        <v>-</v>
      </c>
      <c r="AJ10" s="199" t="str">
        <f t="shared" si="0"/>
        <v>-</v>
      </c>
      <c r="AK10" s="69" t="str">
        <f t="shared" si="0"/>
        <v>-</v>
      </c>
      <c r="AL10" s="577" t="str">
        <f t="shared" si="0"/>
        <v>-</v>
      </c>
      <c r="AM10" s="193"/>
      <c r="AN10" s="194"/>
      <c r="AO10" s="195"/>
      <c r="AP10" s="196"/>
    </row>
    <row r="11" spans="1:42" ht="27" thickBot="1" x14ac:dyDescent="0.3">
      <c r="A11" s="29"/>
      <c r="B11" s="29"/>
      <c r="C11" s="29"/>
      <c r="D11" s="29"/>
      <c r="E11" s="29"/>
      <c r="F11" s="38"/>
      <c r="G11" s="29"/>
      <c r="H11" s="29"/>
      <c r="I11" s="29"/>
      <c r="J11" s="29"/>
      <c r="K11" s="29"/>
      <c r="L11" s="29"/>
      <c r="M11" s="224"/>
      <c r="N11" s="201"/>
      <c r="O11" s="201"/>
      <c r="P11" s="201"/>
      <c r="Q11" s="202"/>
      <c r="R11" s="214" t="s">
        <v>691</v>
      </c>
      <c r="S11" s="474"/>
      <c r="T11" s="222"/>
      <c r="U11" s="201"/>
      <c r="V11" s="201"/>
      <c r="W11" s="201"/>
      <c r="X11" s="202"/>
      <c r="Y11" s="214" t="s">
        <v>557</v>
      </c>
      <c r="Z11" s="474"/>
      <c r="AA11" s="222"/>
      <c r="AB11" s="201"/>
      <c r="AC11" s="201"/>
      <c r="AD11" s="201"/>
      <c r="AE11" s="202"/>
      <c r="AF11" s="214" t="s">
        <v>558</v>
      </c>
      <c r="AG11" s="474"/>
      <c r="AH11" s="200"/>
      <c r="AI11" s="201"/>
      <c r="AJ11" s="202"/>
      <c r="AK11" s="186" t="s">
        <v>294</v>
      </c>
      <c r="AL11" s="578"/>
      <c r="AM11" s="29"/>
      <c r="AN11" s="29"/>
      <c r="AO11" s="29"/>
      <c r="AP11" s="29"/>
    </row>
    <row r="13" spans="1:42" ht="45" x14ac:dyDescent="0.25">
      <c r="H13" s="517" t="s">
        <v>641</v>
      </c>
      <c r="I13" s="517"/>
      <c r="J13" s="517"/>
      <c r="K13" s="517"/>
      <c r="L13" s="314" t="s">
        <v>638</v>
      </c>
      <c r="M13" s="333" t="s">
        <v>639</v>
      </c>
      <c r="N13" s="316" t="s">
        <v>643</v>
      </c>
      <c r="O13" s="316" t="s">
        <v>644</v>
      </c>
      <c r="P13" s="317" t="s">
        <v>642</v>
      </c>
    </row>
    <row r="14" spans="1:42" x14ac:dyDescent="0.25">
      <c r="H14" s="521" t="s">
        <v>400</v>
      </c>
      <c r="I14" s="522"/>
      <c r="J14" s="522"/>
      <c r="K14" s="523"/>
      <c r="L14" s="353" t="str">
        <f>+I7</f>
        <v>&gt;=80%</v>
      </c>
      <c r="M14" s="353">
        <v>0.4</v>
      </c>
      <c r="N14" s="353" t="e">
        <f>+S7</f>
        <v>#DIV/0!</v>
      </c>
      <c r="O14" s="353" t="str">
        <f>IFERROR(IF(N14&gt;=0.8,1,(N14*100%)/0.8),"-")</f>
        <v>-</v>
      </c>
      <c r="P14" s="335" t="str">
        <f>IFERROR(+IF(O14=100%,M14,(+O14*M14)),"-")</f>
        <v>-</v>
      </c>
    </row>
    <row r="15" spans="1:42" x14ac:dyDescent="0.25">
      <c r="H15" s="521" t="s">
        <v>402</v>
      </c>
      <c r="I15" s="522"/>
      <c r="J15" s="522"/>
      <c r="K15" s="523"/>
      <c r="L15" s="353" t="str">
        <f>+I8</f>
        <v>&gt;=80%</v>
      </c>
      <c r="M15" s="353">
        <v>0.1</v>
      </c>
      <c r="N15" s="353" t="e">
        <f>+S8</f>
        <v>#DIV/0!</v>
      </c>
      <c r="O15" s="353" t="str">
        <f>IFERROR(IF(N15&gt;=0.8,1,(N15*100%)/0.8),"-")</f>
        <v>-</v>
      </c>
      <c r="P15" s="355" t="str">
        <f>+IFERROR(IF(O15=100%,M15,(+O15*M15)),"-")</f>
        <v>-</v>
      </c>
    </row>
    <row r="16" spans="1:42" x14ac:dyDescent="0.25">
      <c r="H16" s="521" t="s">
        <v>404</v>
      </c>
      <c r="I16" s="522"/>
      <c r="J16" s="522"/>
      <c r="K16" s="523"/>
      <c r="L16" s="353" t="str">
        <f>+I9</f>
        <v>&gt;=0,5</v>
      </c>
      <c r="M16" s="353">
        <v>0.1</v>
      </c>
      <c r="N16" s="353" t="e">
        <f>+S9</f>
        <v>#DIV/0!</v>
      </c>
      <c r="O16" s="353" t="str">
        <f>IFERROR(IF(N16&gt;=0.5,0.5/(N16*100%),1),"-")</f>
        <v>-</v>
      </c>
      <c r="P16" s="355" t="str">
        <f>+IFERROR(IF(O16=100%,M16,(+O16*M16)),"-")</f>
        <v>-</v>
      </c>
    </row>
    <row r="17" spans="13:16" x14ac:dyDescent="0.25">
      <c r="M17" s="354">
        <f>SUM(M14:M16)</f>
        <v>0.6</v>
      </c>
      <c r="P17" s="354">
        <f>IFERROR(SUM(P14:P16),"-")</f>
        <v>0</v>
      </c>
    </row>
  </sheetData>
  <mergeCells count="45">
    <mergeCell ref="H13:K13"/>
    <mergeCell ref="H14:K14"/>
    <mergeCell ref="H15:K15"/>
    <mergeCell ref="H16:K16"/>
    <mergeCell ref="AL10:AL11"/>
    <mergeCell ref="A10:L10"/>
    <mergeCell ref="S10:S11"/>
    <mergeCell ref="Z10:Z11"/>
    <mergeCell ref="AG10:AG11"/>
    <mergeCell ref="F7:F9"/>
    <mergeCell ref="F5:F6"/>
    <mergeCell ref="G5:G6"/>
    <mergeCell ref="H5:H6"/>
    <mergeCell ref="I5:I6"/>
    <mergeCell ref="A7:A9"/>
    <mergeCell ref="B7:B9"/>
    <mergeCell ref="C7:C9"/>
    <mergeCell ref="D7:D9"/>
    <mergeCell ref="E7:E9"/>
    <mergeCell ref="E5:E6"/>
    <mergeCell ref="S5:S6"/>
    <mergeCell ref="Z5:Z6"/>
    <mergeCell ref="AH5:AL5"/>
    <mergeCell ref="AM5:AP5"/>
    <mergeCell ref="AF5:AF6"/>
    <mergeCell ref="AG5:AG6"/>
    <mergeCell ref="J5:J6"/>
    <mergeCell ref="Q5:Q6"/>
    <mergeCell ref="R5:R6"/>
    <mergeCell ref="X5:X6"/>
    <mergeCell ref="Y5:Y6"/>
    <mergeCell ref="AE5:AE6"/>
    <mergeCell ref="L5:L6"/>
    <mergeCell ref="K5:K6"/>
    <mergeCell ref="A4:D4"/>
    <mergeCell ref="A5:A6"/>
    <mergeCell ref="B5:B6"/>
    <mergeCell ref="C5:C6"/>
    <mergeCell ref="D5:D6"/>
    <mergeCell ref="A1:B1"/>
    <mergeCell ref="C1:AM1"/>
    <mergeCell ref="AN1:AP2"/>
    <mergeCell ref="A2:B3"/>
    <mergeCell ref="C2:AM3"/>
    <mergeCell ref="AN3:AP3"/>
  </mergeCells>
  <conditionalFormatting sqref="AL10 AH7:AH9 AJ7:AL9">
    <cfRule type="cellIs" dxfId="26" priority="4" operator="lessThan">
      <formula>0.6</formula>
    </cfRule>
    <cfRule type="cellIs" dxfId="25" priority="5" operator="between">
      <formula>60%</formula>
      <formula>79%</formula>
    </cfRule>
    <cfRule type="cellIs" dxfId="24" priority="6" operator="between">
      <formula>80%</formula>
      <formula>100%</formula>
    </cfRule>
  </conditionalFormatting>
  <conditionalFormatting sqref="AI7:AI9">
    <cfRule type="cellIs" dxfId="23" priority="1" operator="lessThan">
      <formula>0.6</formula>
    </cfRule>
    <cfRule type="cellIs" dxfId="22" priority="2" operator="between">
      <formula>60%</formula>
      <formula>79%</formula>
    </cfRule>
    <cfRule type="cellIs" dxfId="21" priority="3" operator="between">
      <formula>80%</formula>
      <formula>100%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"/>
  <sheetViews>
    <sheetView topLeftCell="D1" zoomScale="70" zoomScaleNormal="70" workbookViewId="0">
      <selection activeCell="O20" sqref="O20:O21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0.85546875" customWidth="1"/>
    <col min="4" max="4" width="31" customWidth="1"/>
    <col min="5" max="5" width="20.7109375" customWidth="1"/>
    <col min="6" max="6" width="13.140625" customWidth="1"/>
    <col min="7" max="7" width="21.7109375" style="83" customWidth="1"/>
    <col min="8" max="8" width="25.28515625" style="83" customWidth="1"/>
    <col min="9" max="11" width="14.42578125" customWidth="1"/>
    <col min="12" max="12" width="16.7109375" customWidth="1"/>
    <col min="13" max="13" width="19.42578125" style="281" customWidth="1"/>
    <col min="14" max="20" width="19.42578125" customWidth="1"/>
    <col min="21" max="21" width="34.140625" customWidth="1"/>
    <col min="22" max="23" width="19.42578125" customWidth="1"/>
    <col min="24" max="34" width="19.42578125" hidden="1" customWidth="1"/>
    <col min="35" max="35" width="32.28515625" hidden="1" customWidth="1"/>
    <col min="36" max="48" width="19.42578125" hidden="1" customWidth="1"/>
    <col min="49" max="49" width="29.42578125" hidden="1" customWidth="1"/>
    <col min="50" max="51" width="19.42578125" hidden="1" customWidth="1"/>
    <col min="52" max="56" width="17.7109375" customWidth="1"/>
    <col min="57" max="60" width="26.5703125" customWidth="1"/>
  </cols>
  <sheetData>
    <row r="1" spans="1:60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96"/>
      <c r="BG1" s="496"/>
      <c r="BH1" s="496"/>
    </row>
    <row r="2" spans="1:60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  <c r="BF2" s="496"/>
      <c r="BG2" s="496"/>
      <c r="BH2" s="496"/>
    </row>
    <row r="3" spans="1:60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72"/>
      <c r="BA3" s="472"/>
      <c r="BB3" s="472"/>
      <c r="BC3" s="472"/>
      <c r="BD3" s="472"/>
      <c r="BE3" s="472"/>
      <c r="BF3" s="497" t="s">
        <v>695</v>
      </c>
      <c r="BG3" s="497"/>
      <c r="BH3" s="497"/>
    </row>
    <row r="4" spans="1:60" ht="15.75" thickBot="1" x14ac:dyDescent="0.3">
      <c r="A4" s="481" t="s">
        <v>193</v>
      </c>
      <c r="B4" s="481"/>
      <c r="C4" s="481"/>
      <c r="D4" s="481"/>
      <c r="E4" s="29"/>
      <c r="F4" s="38"/>
      <c r="G4" s="126"/>
      <c r="H4" s="126"/>
      <c r="I4" s="29"/>
      <c r="J4" s="29"/>
      <c r="K4" s="29"/>
      <c r="L4" s="29"/>
      <c r="M4" s="57"/>
      <c r="N4" s="29"/>
      <c r="O4" s="29"/>
      <c r="P4" s="29"/>
      <c r="Q4" s="29"/>
      <c r="R4" s="29"/>
      <c r="S4" s="29"/>
      <c r="T4" s="29"/>
      <c r="U4" s="29"/>
      <c r="V4" s="29"/>
      <c r="W4" s="29"/>
      <c r="X4" s="57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57"/>
      <c r="AM4" s="57"/>
      <c r="AN4" s="57"/>
      <c r="AO4" s="57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</row>
    <row r="5" spans="1:60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575" t="s">
        <v>9</v>
      </c>
      <c r="M5" s="205" t="s">
        <v>413</v>
      </c>
      <c r="N5" s="282" t="s">
        <v>563</v>
      </c>
      <c r="O5" s="282" t="s">
        <v>564</v>
      </c>
      <c r="P5" s="282" t="s">
        <v>565</v>
      </c>
      <c r="Q5" s="282" t="s">
        <v>566</v>
      </c>
      <c r="R5" s="282" t="s">
        <v>608</v>
      </c>
      <c r="S5" s="282" t="s">
        <v>567</v>
      </c>
      <c r="T5" s="288" t="s">
        <v>568</v>
      </c>
      <c r="U5" s="548" t="s">
        <v>447</v>
      </c>
      <c r="V5" s="494" t="s">
        <v>448</v>
      </c>
      <c r="W5" s="485" t="s">
        <v>540</v>
      </c>
      <c r="X5" s="205" t="s">
        <v>413</v>
      </c>
      <c r="Y5" s="282" t="s">
        <v>563</v>
      </c>
      <c r="Z5" s="282" t="s">
        <v>564</v>
      </c>
      <c r="AA5" s="282" t="s">
        <v>565</v>
      </c>
      <c r="AB5" s="282" t="s">
        <v>566</v>
      </c>
      <c r="AC5" s="282" t="s">
        <v>608</v>
      </c>
      <c r="AD5" s="282" t="s">
        <v>567</v>
      </c>
      <c r="AE5" s="282" t="s">
        <v>223</v>
      </c>
      <c r="AF5" s="288" t="s">
        <v>609</v>
      </c>
      <c r="AG5" s="288" t="s">
        <v>610</v>
      </c>
      <c r="AH5" s="288" t="s">
        <v>568</v>
      </c>
      <c r="AI5" s="548" t="s">
        <v>447</v>
      </c>
      <c r="AJ5" s="494" t="s">
        <v>448</v>
      </c>
      <c r="AK5" s="485" t="s">
        <v>543</v>
      </c>
      <c r="AL5" s="205" t="s">
        <v>413</v>
      </c>
      <c r="AM5" s="282" t="s">
        <v>563</v>
      </c>
      <c r="AN5" s="282" t="s">
        <v>564</v>
      </c>
      <c r="AO5" s="282" t="s">
        <v>565</v>
      </c>
      <c r="AP5" s="282" t="s">
        <v>566</v>
      </c>
      <c r="AQ5" s="282" t="s">
        <v>608</v>
      </c>
      <c r="AR5" s="282" t="s">
        <v>567</v>
      </c>
      <c r="AS5" s="282" t="s">
        <v>223</v>
      </c>
      <c r="AT5" s="288" t="s">
        <v>609</v>
      </c>
      <c r="AU5" s="288" t="s">
        <v>610</v>
      </c>
      <c r="AV5" s="288" t="s">
        <v>568</v>
      </c>
      <c r="AW5" s="548" t="s">
        <v>447</v>
      </c>
      <c r="AX5" s="494" t="s">
        <v>448</v>
      </c>
      <c r="AY5" s="485" t="s">
        <v>544</v>
      </c>
      <c r="AZ5" s="528" t="s">
        <v>11</v>
      </c>
      <c r="BA5" s="529"/>
      <c r="BB5" s="529"/>
      <c r="BC5" s="529"/>
      <c r="BD5" s="530"/>
      <c r="BE5" s="478" t="s">
        <v>197</v>
      </c>
      <c r="BF5" s="479"/>
      <c r="BG5" s="479"/>
      <c r="BH5" s="480"/>
    </row>
    <row r="6" spans="1:60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576"/>
      <c r="M6" s="173" t="s">
        <v>298</v>
      </c>
      <c r="N6" s="4" t="s">
        <v>298</v>
      </c>
      <c r="O6" s="4" t="s">
        <v>298</v>
      </c>
      <c r="P6" s="4" t="s">
        <v>298</v>
      </c>
      <c r="Q6" s="4" t="s">
        <v>298</v>
      </c>
      <c r="R6" s="4" t="s">
        <v>298</v>
      </c>
      <c r="S6" s="4" t="s">
        <v>298</v>
      </c>
      <c r="T6" s="4" t="s">
        <v>298</v>
      </c>
      <c r="U6" s="549"/>
      <c r="V6" s="495"/>
      <c r="W6" s="486"/>
      <c r="X6" s="173" t="s">
        <v>287</v>
      </c>
      <c r="Y6" s="4" t="s">
        <v>287</v>
      </c>
      <c r="Z6" s="4" t="s">
        <v>287</v>
      </c>
      <c r="AA6" s="4" t="s">
        <v>287</v>
      </c>
      <c r="AB6" s="4" t="s">
        <v>287</v>
      </c>
      <c r="AC6" s="4" t="s">
        <v>287</v>
      </c>
      <c r="AD6" s="4" t="s">
        <v>287</v>
      </c>
      <c r="AE6" s="4" t="s">
        <v>287</v>
      </c>
      <c r="AF6" s="4" t="s">
        <v>287</v>
      </c>
      <c r="AG6" s="4" t="s">
        <v>287</v>
      </c>
      <c r="AH6" s="4" t="s">
        <v>287</v>
      </c>
      <c r="AI6" s="549"/>
      <c r="AJ6" s="495"/>
      <c r="AK6" s="486"/>
      <c r="AL6" s="173" t="s">
        <v>320</v>
      </c>
      <c r="AM6" s="4" t="s">
        <v>320</v>
      </c>
      <c r="AN6" s="4" t="s">
        <v>320</v>
      </c>
      <c r="AO6" s="4" t="s">
        <v>320</v>
      </c>
      <c r="AP6" s="4" t="s">
        <v>320</v>
      </c>
      <c r="AQ6" s="4" t="s">
        <v>320</v>
      </c>
      <c r="AR6" s="4" t="s">
        <v>320</v>
      </c>
      <c r="AS6" s="4" t="s">
        <v>320</v>
      </c>
      <c r="AT6" s="4" t="s">
        <v>320</v>
      </c>
      <c r="AU6" s="4" t="s">
        <v>320</v>
      </c>
      <c r="AV6" s="4" t="s">
        <v>320</v>
      </c>
      <c r="AW6" s="549"/>
      <c r="AX6" s="495"/>
      <c r="AY6" s="486"/>
      <c r="AZ6" s="182" t="s">
        <v>198</v>
      </c>
      <c r="BA6" s="5" t="s">
        <v>199</v>
      </c>
      <c r="BB6" s="5" t="s">
        <v>200</v>
      </c>
      <c r="BC6" s="5" t="s">
        <v>201</v>
      </c>
      <c r="BD6" s="183" t="s">
        <v>20</v>
      </c>
      <c r="BE6" s="187" t="s">
        <v>202</v>
      </c>
      <c r="BF6" s="33" t="s">
        <v>203</v>
      </c>
      <c r="BG6" s="33" t="s">
        <v>204</v>
      </c>
      <c r="BH6" s="188" t="s">
        <v>205</v>
      </c>
    </row>
    <row r="7" spans="1:60" ht="63.75" customHeight="1" x14ac:dyDescent="0.25">
      <c r="A7" s="589" t="s">
        <v>408</v>
      </c>
      <c r="B7" s="580" t="s">
        <v>409</v>
      </c>
      <c r="C7" s="580" t="s">
        <v>410</v>
      </c>
      <c r="D7" s="580" t="s">
        <v>411</v>
      </c>
      <c r="E7" s="580" t="s">
        <v>412</v>
      </c>
      <c r="F7" s="574">
        <v>0.4</v>
      </c>
      <c r="G7" s="170" t="s">
        <v>416</v>
      </c>
      <c r="H7" s="170" t="s">
        <v>414</v>
      </c>
      <c r="I7" s="85" t="s">
        <v>132</v>
      </c>
      <c r="J7" s="85" t="s">
        <v>547</v>
      </c>
      <c r="K7" s="277" t="s">
        <v>719</v>
      </c>
      <c r="L7" s="204" t="s">
        <v>430</v>
      </c>
      <c r="M7" s="174" t="s">
        <v>237</v>
      </c>
      <c r="N7" s="67"/>
      <c r="O7" s="67"/>
      <c r="P7" s="67"/>
      <c r="Q7" s="67"/>
      <c r="R7" s="67"/>
      <c r="S7" s="67"/>
      <c r="T7" s="67"/>
      <c r="U7" s="67"/>
      <c r="V7" s="67"/>
      <c r="W7" s="175" t="e">
        <f>AVERAGE(M7:T7)</f>
        <v>#DIV/0!</v>
      </c>
      <c r="X7" s="174" t="s">
        <v>237</v>
      </c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175" t="str">
        <f>+IFERROR(AVERAGE(X7:AH7),"-")</f>
        <v>-</v>
      </c>
      <c r="AL7" s="174" t="s">
        <v>237</v>
      </c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175" t="str">
        <f>+IFERROR(AVERAGE(AL7:AV7),"-")</f>
        <v>-</v>
      </c>
      <c r="AZ7" s="184" t="s">
        <v>225</v>
      </c>
      <c r="BA7" s="26" t="str">
        <f>IFERROR(IF(W7&gt;=0.8,1,(W7*100%)/0.8),"-")</f>
        <v>-</v>
      </c>
      <c r="BB7" s="26" t="str">
        <f>IFERROR((AK7*100%)/$I$7,"-")</f>
        <v>-</v>
      </c>
      <c r="BC7" s="26" t="str">
        <f>IFERROR((AY7*100%)/$I$7,"-")</f>
        <v>-</v>
      </c>
      <c r="BD7" s="185" t="str">
        <f t="shared" ref="BD7:BD15" si="0">IFERROR(AVERAGE(AZ7:BC7),"-")</f>
        <v>-</v>
      </c>
      <c r="BE7" s="189"/>
      <c r="BF7" s="35"/>
      <c r="BG7" s="36"/>
      <c r="BH7" s="190"/>
    </row>
    <row r="8" spans="1:60" ht="114.75" customHeight="1" x14ac:dyDescent="0.25">
      <c r="A8" s="573"/>
      <c r="B8" s="506"/>
      <c r="C8" s="556"/>
      <c r="D8" s="556"/>
      <c r="E8" s="556"/>
      <c r="F8" s="557"/>
      <c r="G8" s="95" t="s">
        <v>415</v>
      </c>
      <c r="H8" s="170" t="s">
        <v>417</v>
      </c>
      <c r="I8" s="85" t="s">
        <v>132</v>
      </c>
      <c r="J8" s="125" t="s">
        <v>549</v>
      </c>
      <c r="K8" s="287" t="s">
        <v>720</v>
      </c>
      <c r="L8" s="204" t="s">
        <v>430</v>
      </c>
      <c r="M8" s="174" t="s">
        <v>237</v>
      </c>
      <c r="N8" s="286"/>
      <c r="O8" s="7"/>
      <c r="P8" s="7"/>
      <c r="Q8" s="7"/>
      <c r="R8" s="7"/>
      <c r="S8" s="7"/>
      <c r="T8" s="7"/>
      <c r="U8" s="7"/>
      <c r="V8" s="7"/>
      <c r="W8" s="175" t="e">
        <f t="shared" ref="W8:W14" si="1">AVERAGE(M8:T8)</f>
        <v>#DIV/0!</v>
      </c>
      <c r="X8" s="174" t="s">
        <v>237</v>
      </c>
      <c r="Y8" s="286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75" t="str">
        <f t="shared" ref="AK8:AK15" si="2">+IFERROR(AVERAGE(X8:AH8),"-")</f>
        <v>-</v>
      </c>
      <c r="AL8" s="174" t="s">
        <v>237</v>
      </c>
      <c r="AM8" s="286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175" t="str">
        <f t="shared" ref="AY8:AY15" si="3">+IFERROR(AVERAGE(AL8:AV8),"-")</f>
        <v>-</v>
      </c>
      <c r="AZ8" s="184" t="s">
        <v>225</v>
      </c>
      <c r="BA8" s="26" t="str">
        <f>IFERROR(IF(W8&gt;=0.8,1,(W8*100%)/0.8),"-")</f>
        <v>-</v>
      </c>
      <c r="BB8" s="26" t="str">
        <f t="shared" ref="BB8:BB13" si="4">IFERROR((AK8*100%)/I8,"-")</f>
        <v>-</v>
      </c>
      <c r="BC8" s="26" t="str">
        <f t="shared" ref="BC8:BC13" si="5">IFERROR((AY8*100%)/I8,"-")</f>
        <v>-</v>
      </c>
      <c r="BD8" s="185" t="str">
        <f t="shared" si="0"/>
        <v>-</v>
      </c>
      <c r="BE8" s="191"/>
      <c r="BF8" s="30"/>
      <c r="BG8" s="28"/>
      <c r="BH8" s="192"/>
    </row>
    <row r="9" spans="1:60" ht="114.75" customHeight="1" x14ac:dyDescent="0.25">
      <c r="A9" s="573"/>
      <c r="B9" s="506"/>
      <c r="C9" s="556"/>
      <c r="D9" s="556"/>
      <c r="E9" s="556"/>
      <c r="F9" s="557"/>
      <c r="G9" s="95" t="s">
        <v>418</v>
      </c>
      <c r="H9" s="170" t="s">
        <v>419</v>
      </c>
      <c r="I9" s="85" t="s">
        <v>612</v>
      </c>
      <c r="J9" s="125" t="s">
        <v>549</v>
      </c>
      <c r="K9" s="287" t="s">
        <v>721</v>
      </c>
      <c r="L9" s="204" t="s">
        <v>430</v>
      </c>
      <c r="M9" s="174" t="s">
        <v>237</v>
      </c>
      <c r="N9" s="7" t="s">
        <v>237</v>
      </c>
      <c r="O9" s="7" t="s">
        <v>237</v>
      </c>
      <c r="P9" s="7" t="s">
        <v>237</v>
      </c>
      <c r="Q9" s="7" t="s">
        <v>237</v>
      </c>
      <c r="R9" s="7" t="s">
        <v>237</v>
      </c>
      <c r="S9" s="7" t="s">
        <v>237</v>
      </c>
      <c r="T9" s="7" t="s">
        <v>237</v>
      </c>
      <c r="U9" s="7"/>
      <c r="V9" s="7"/>
      <c r="W9" s="175" t="e">
        <f t="shared" si="1"/>
        <v>#DIV/0!</v>
      </c>
      <c r="X9" s="174" t="s">
        <v>237</v>
      </c>
      <c r="Y9" s="7" t="s">
        <v>237</v>
      </c>
      <c r="Z9" s="7" t="s">
        <v>237</v>
      </c>
      <c r="AA9" s="7" t="s">
        <v>237</v>
      </c>
      <c r="AB9" s="7" t="s">
        <v>237</v>
      </c>
      <c r="AC9" s="7" t="s">
        <v>237</v>
      </c>
      <c r="AD9" s="7" t="s">
        <v>237</v>
      </c>
      <c r="AE9" s="7" t="s">
        <v>237</v>
      </c>
      <c r="AF9" s="7" t="s">
        <v>237</v>
      </c>
      <c r="AG9" s="7" t="s">
        <v>237</v>
      </c>
      <c r="AH9" s="7" t="s">
        <v>237</v>
      </c>
      <c r="AI9" s="7"/>
      <c r="AJ9" s="7"/>
      <c r="AK9" s="175" t="str">
        <f t="shared" si="2"/>
        <v>-</v>
      </c>
      <c r="AL9" s="174" t="s">
        <v>237</v>
      </c>
      <c r="AM9" s="7" t="s">
        <v>237</v>
      </c>
      <c r="AN9" s="7" t="s">
        <v>237</v>
      </c>
      <c r="AO9" s="7" t="s">
        <v>237</v>
      </c>
      <c r="AP9" s="7" t="s">
        <v>237</v>
      </c>
      <c r="AQ9" s="7" t="s">
        <v>237</v>
      </c>
      <c r="AR9" s="7" t="s">
        <v>237</v>
      </c>
      <c r="AS9" s="7" t="s">
        <v>237</v>
      </c>
      <c r="AT9" s="7" t="s">
        <v>237</v>
      </c>
      <c r="AU9" s="7" t="s">
        <v>237</v>
      </c>
      <c r="AV9" s="7" t="s">
        <v>237</v>
      </c>
      <c r="AW9" s="7"/>
      <c r="AX9" s="7"/>
      <c r="AY9" s="175" t="str">
        <f t="shared" si="3"/>
        <v>-</v>
      </c>
      <c r="AZ9" s="184" t="s">
        <v>225</v>
      </c>
      <c r="BA9" s="26" t="str">
        <f>IFERROR(IF(W9&gt;=0.7,1,(W9*100%)/0.7),"-")</f>
        <v>-</v>
      </c>
      <c r="BB9" s="26" t="str">
        <f t="shared" si="4"/>
        <v>-</v>
      </c>
      <c r="BC9" s="26" t="str">
        <f t="shared" si="5"/>
        <v>-</v>
      </c>
      <c r="BD9" s="185" t="str">
        <f t="shared" si="0"/>
        <v>-</v>
      </c>
      <c r="BE9" s="191"/>
      <c r="BF9" s="30"/>
      <c r="BG9" s="28"/>
      <c r="BH9" s="192"/>
    </row>
    <row r="10" spans="1:60" ht="114.75" customHeight="1" x14ac:dyDescent="0.25">
      <c r="A10" s="573"/>
      <c r="B10" s="506"/>
      <c r="C10" s="556"/>
      <c r="D10" s="556"/>
      <c r="E10" s="556"/>
      <c r="F10" s="557"/>
      <c r="G10" s="95" t="s">
        <v>420</v>
      </c>
      <c r="H10" s="170" t="s">
        <v>421</v>
      </c>
      <c r="I10" s="85" t="s">
        <v>612</v>
      </c>
      <c r="J10" s="125" t="s">
        <v>549</v>
      </c>
      <c r="K10" s="287" t="s">
        <v>721</v>
      </c>
      <c r="L10" s="204" t="s">
        <v>430</v>
      </c>
      <c r="M10" s="174" t="s">
        <v>237</v>
      </c>
      <c r="N10" s="286"/>
      <c r="O10" s="7"/>
      <c r="P10" s="7"/>
      <c r="Q10" s="7"/>
      <c r="R10" s="7"/>
      <c r="S10" s="7"/>
      <c r="T10" s="7"/>
      <c r="U10" s="7"/>
      <c r="V10" s="7"/>
      <c r="W10" s="175" t="e">
        <f t="shared" si="1"/>
        <v>#DIV/0!</v>
      </c>
      <c r="X10" s="174" t="s">
        <v>237</v>
      </c>
      <c r="Y10" s="28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75" t="str">
        <f t="shared" si="2"/>
        <v>-</v>
      </c>
      <c r="AL10" s="174" t="s">
        <v>237</v>
      </c>
      <c r="AM10" s="28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175" t="str">
        <f t="shared" si="3"/>
        <v>-</v>
      </c>
      <c r="AZ10" s="184" t="s">
        <v>225</v>
      </c>
      <c r="BA10" s="26" t="str">
        <f>IFERROR(IF(W10&gt;=0.7,1,(W10*100%)/0.7),"-")</f>
        <v>-</v>
      </c>
      <c r="BB10" s="26" t="str">
        <f t="shared" si="4"/>
        <v>-</v>
      </c>
      <c r="BC10" s="26" t="str">
        <f t="shared" si="5"/>
        <v>-</v>
      </c>
      <c r="BD10" s="185" t="str">
        <f t="shared" si="0"/>
        <v>-</v>
      </c>
      <c r="BE10" s="191"/>
      <c r="BF10" s="30"/>
      <c r="BG10" s="28"/>
      <c r="BH10" s="192"/>
    </row>
    <row r="11" spans="1:60" ht="114.75" customHeight="1" x14ac:dyDescent="0.25">
      <c r="A11" s="573"/>
      <c r="B11" s="506"/>
      <c r="C11" s="556"/>
      <c r="D11" s="556"/>
      <c r="E11" s="556"/>
      <c r="F11" s="557"/>
      <c r="G11" s="95" t="s">
        <v>422</v>
      </c>
      <c r="H11" s="170" t="s">
        <v>423</v>
      </c>
      <c r="I11" s="85" t="s">
        <v>141</v>
      </c>
      <c r="J11" s="125" t="s">
        <v>549</v>
      </c>
      <c r="K11" s="287" t="s">
        <v>722</v>
      </c>
      <c r="L11" s="204" t="s">
        <v>430</v>
      </c>
      <c r="M11" s="174" t="s">
        <v>237</v>
      </c>
      <c r="N11" s="286"/>
      <c r="O11" s="7"/>
      <c r="P11" s="7"/>
      <c r="Q11" s="7"/>
      <c r="R11" s="7"/>
      <c r="S11" s="7"/>
      <c r="T11" s="7"/>
      <c r="U11" s="7"/>
      <c r="V11" s="7"/>
      <c r="W11" s="175" t="e">
        <f t="shared" si="1"/>
        <v>#DIV/0!</v>
      </c>
      <c r="X11" s="174" t="s">
        <v>237</v>
      </c>
      <c r="Y11" s="286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75" t="str">
        <f t="shared" si="2"/>
        <v>-</v>
      </c>
      <c r="AL11" s="174" t="s">
        <v>237</v>
      </c>
      <c r="AM11" s="28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175" t="str">
        <f t="shared" si="3"/>
        <v>-</v>
      </c>
      <c r="AZ11" s="184" t="s">
        <v>225</v>
      </c>
      <c r="BA11" s="26" t="str">
        <f>IFERROR(IF(W11&gt;=0.9,1,(W11*100%)/0.9),"-")</f>
        <v>-</v>
      </c>
      <c r="BB11" s="26" t="str">
        <f t="shared" si="4"/>
        <v>-</v>
      </c>
      <c r="BC11" s="26" t="str">
        <f t="shared" si="5"/>
        <v>-</v>
      </c>
      <c r="BD11" s="185" t="str">
        <f t="shared" si="0"/>
        <v>-</v>
      </c>
      <c r="BE11" s="191"/>
      <c r="BF11" s="30"/>
      <c r="BG11" s="28"/>
      <c r="BH11" s="192"/>
    </row>
    <row r="12" spans="1:60" ht="114.75" customHeight="1" x14ac:dyDescent="0.25">
      <c r="A12" s="573"/>
      <c r="B12" s="506"/>
      <c r="C12" s="556"/>
      <c r="D12" s="556"/>
      <c r="E12" s="556"/>
      <c r="F12" s="557"/>
      <c r="G12" s="95" t="s">
        <v>424</v>
      </c>
      <c r="H12" s="170" t="s">
        <v>423</v>
      </c>
      <c r="I12" s="124">
        <v>0.9</v>
      </c>
      <c r="J12" s="125" t="s">
        <v>549</v>
      </c>
      <c r="K12" s="287" t="s">
        <v>722</v>
      </c>
      <c r="L12" s="204" t="s">
        <v>430</v>
      </c>
      <c r="M12" s="174" t="s">
        <v>237</v>
      </c>
      <c r="N12" s="286"/>
      <c r="O12" s="7"/>
      <c r="P12" s="7"/>
      <c r="Q12" s="7"/>
      <c r="R12" s="7"/>
      <c r="S12" s="7"/>
      <c r="T12" s="7"/>
      <c r="U12" s="7"/>
      <c r="V12" s="7"/>
      <c r="W12" s="175" t="e">
        <f t="shared" si="1"/>
        <v>#DIV/0!</v>
      </c>
      <c r="X12" s="174" t="s">
        <v>237</v>
      </c>
      <c r="Y12" s="286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75" t="str">
        <f t="shared" si="2"/>
        <v>-</v>
      </c>
      <c r="AL12" s="174" t="s">
        <v>237</v>
      </c>
      <c r="AM12" s="28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175" t="str">
        <f t="shared" si="3"/>
        <v>-</v>
      </c>
      <c r="AZ12" s="184" t="s">
        <v>225</v>
      </c>
      <c r="BA12" s="26" t="str">
        <f>IFERROR(IF(W12&gt;=0.9,1,(W12*100%)/0.9),"-")</f>
        <v>-</v>
      </c>
      <c r="BB12" s="26" t="str">
        <f>IFERROR((AK12*100%)/I12,"-")</f>
        <v>-</v>
      </c>
      <c r="BC12" s="26" t="str">
        <f t="shared" si="5"/>
        <v>-</v>
      </c>
      <c r="BD12" s="185" t="str">
        <f t="shared" si="0"/>
        <v>-</v>
      </c>
      <c r="BE12" s="191"/>
      <c r="BF12" s="30"/>
      <c r="BG12" s="28"/>
      <c r="BH12" s="192"/>
    </row>
    <row r="13" spans="1:60" ht="114.75" customHeight="1" x14ac:dyDescent="0.25">
      <c r="A13" s="573"/>
      <c r="B13" s="506"/>
      <c r="C13" s="556"/>
      <c r="D13" s="556"/>
      <c r="E13" s="556"/>
      <c r="F13" s="557"/>
      <c r="G13" s="95" t="s">
        <v>425</v>
      </c>
      <c r="H13" s="170" t="s">
        <v>426</v>
      </c>
      <c r="I13" s="124">
        <v>0.9</v>
      </c>
      <c r="J13" s="125" t="s">
        <v>549</v>
      </c>
      <c r="K13" s="287" t="s">
        <v>722</v>
      </c>
      <c r="L13" s="204" t="s">
        <v>430</v>
      </c>
      <c r="M13" s="174" t="s">
        <v>237</v>
      </c>
      <c r="N13" s="286"/>
      <c r="O13" s="7"/>
      <c r="P13" s="7"/>
      <c r="Q13" s="7"/>
      <c r="R13" s="7"/>
      <c r="S13" s="7"/>
      <c r="T13" s="7"/>
      <c r="U13" s="7"/>
      <c r="V13" s="7"/>
      <c r="W13" s="175" t="e">
        <f t="shared" si="1"/>
        <v>#DIV/0!</v>
      </c>
      <c r="X13" s="174" t="s">
        <v>237</v>
      </c>
      <c r="Y13" s="286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75" t="str">
        <f t="shared" si="2"/>
        <v>-</v>
      </c>
      <c r="AL13" s="174" t="s">
        <v>237</v>
      </c>
      <c r="AM13" s="28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175" t="str">
        <f t="shared" si="3"/>
        <v>-</v>
      </c>
      <c r="AZ13" s="184" t="s">
        <v>225</v>
      </c>
      <c r="BA13" s="26" t="str">
        <f>IFERROR(IF(W13&gt;=0.9,1,(W13*100%)/0.9),"-")</f>
        <v>-</v>
      </c>
      <c r="BB13" s="26" t="str">
        <f t="shared" si="4"/>
        <v>-</v>
      </c>
      <c r="BC13" s="26" t="str">
        <f t="shared" si="5"/>
        <v>-</v>
      </c>
      <c r="BD13" s="185" t="str">
        <f t="shared" si="0"/>
        <v>-</v>
      </c>
      <c r="BE13" s="191"/>
      <c r="BF13" s="30"/>
      <c r="BG13" s="28"/>
      <c r="BH13" s="192"/>
    </row>
    <row r="14" spans="1:60" ht="76.5" customHeight="1" x14ac:dyDescent="0.25">
      <c r="A14" s="573"/>
      <c r="B14" s="506"/>
      <c r="C14" s="556"/>
      <c r="D14" s="556"/>
      <c r="E14" s="556"/>
      <c r="F14" s="557"/>
      <c r="G14" s="95" t="s">
        <v>427</v>
      </c>
      <c r="H14" s="170" t="s">
        <v>417</v>
      </c>
      <c r="I14" s="85" t="s">
        <v>141</v>
      </c>
      <c r="J14" s="125" t="s">
        <v>549</v>
      </c>
      <c r="K14" s="287" t="s">
        <v>722</v>
      </c>
      <c r="L14" s="204" t="s">
        <v>430</v>
      </c>
      <c r="M14" s="174" t="s">
        <v>237</v>
      </c>
      <c r="N14" s="286"/>
      <c r="O14" s="7"/>
      <c r="P14" s="7"/>
      <c r="Q14" s="7"/>
      <c r="R14" s="7"/>
      <c r="S14" s="7"/>
      <c r="T14" s="7"/>
      <c r="U14" s="7"/>
      <c r="V14" s="7"/>
      <c r="W14" s="175" t="e">
        <f t="shared" si="1"/>
        <v>#DIV/0!</v>
      </c>
      <c r="X14" s="174" t="s">
        <v>237</v>
      </c>
      <c r="Y14" s="286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175" t="str">
        <f t="shared" si="2"/>
        <v>-</v>
      </c>
      <c r="AL14" s="174" t="s">
        <v>237</v>
      </c>
      <c r="AM14" s="28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175" t="str">
        <f t="shared" si="3"/>
        <v>-</v>
      </c>
      <c r="AZ14" s="184" t="s">
        <v>225</v>
      </c>
      <c r="BA14" s="26" t="str">
        <f>IFERROR(IF(W14&gt;=0.9,1,(W14*100%)/0.9),"-")</f>
        <v>-</v>
      </c>
      <c r="BB14" s="26" t="str">
        <f>IFERROR((AK14*100%)/$I$14,"-")</f>
        <v>-</v>
      </c>
      <c r="BC14" s="26" t="str">
        <f>IFERROR((AY14*100%)/$I$14,"-")</f>
        <v>-</v>
      </c>
      <c r="BD14" s="185" t="str">
        <f t="shared" si="0"/>
        <v>-</v>
      </c>
      <c r="BE14" s="191"/>
      <c r="BF14" s="30"/>
      <c r="BG14" s="28"/>
      <c r="BH14" s="220"/>
    </row>
    <row r="15" spans="1:60" ht="76.5" customHeight="1" x14ac:dyDescent="0.25">
      <c r="A15" s="573"/>
      <c r="B15" s="506"/>
      <c r="C15" s="556"/>
      <c r="D15" s="556"/>
      <c r="E15" s="556"/>
      <c r="F15" s="557"/>
      <c r="G15" s="95" t="s">
        <v>428</v>
      </c>
      <c r="H15" s="170" t="s">
        <v>429</v>
      </c>
      <c r="I15" s="124">
        <v>0.3</v>
      </c>
      <c r="J15" s="125" t="s">
        <v>549</v>
      </c>
      <c r="K15" s="287" t="s">
        <v>721</v>
      </c>
      <c r="L15" s="204" t="s">
        <v>430</v>
      </c>
      <c r="M15" s="174" t="s">
        <v>237</v>
      </c>
      <c r="N15" s="286"/>
      <c r="O15" s="56"/>
      <c r="P15" s="7"/>
      <c r="Q15" s="7"/>
      <c r="R15" s="7"/>
      <c r="S15" s="7"/>
      <c r="T15" s="7"/>
      <c r="U15" s="7"/>
      <c r="V15" s="7"/>
      <c r="W15" s="175" t="str">
        <f t="shared" ref="W15" si="6">+IFERROR(AVERAGE(M15:T15),"-")</f>
        <v>-</v>
      </c>
      <c r="X15" s="174" t="s">
        <v>237</v>
      </c>
      <c r="Y15" s="286"/>
      <c r="Z15" s="56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75" t="str">
        <f t="shared" si="2"/>
        <v>-</v>
      </c>
      <c r="AL15" s="174" t="s">
        <v>237</v>
      </c>
      <c r="AM15" s="286"/>
      <c r="AN15" s="56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175" t="str">
        <f t="shared" si="3"/>
        <v>-</v>
      </c>
      <c r="AZ15" s="184" t="s">
        <v>225</v>
      </c>
      <c r="BA15" s="26" t="str">
        <f>IFERROR((W15*100%)/$I$15,"-")</f>
        <v>-</v>
      </c>
      <c r="BB15" s="26" t="str">
        <f>IFERROR((AK15*100%)/$I$15,"-")</f>
        <v>-</v>
      </c>
      <c r="BC15" s="26" t="str">
        <f>IFERROR((AY15*100%)/$I$15,"-")</f>
        <v>-</v>
      </c>
      <c r="BD15" s="185" t="str">
        <f t="shared" si="0"/>
        <v>-</v>
      </c>
      <c r="BE15" s="191"/>
      <c r="BF15" s="30"/>
      <c r="BG15" s="28"/>
      <c r="BH15" s="220"/>
    </row>
    <row r="16" spans="1:60" ht="26.25" thickBot="1" x14ac:dyDescent="0.3">
      <c r="A16" s="501" t="s">
        <v>293</v>
      </c>
      <c r="B16" s="502"/>
      <c r="C16" s="502"/>
      <c r="D16" s="502"/>
      <c r="E16" s="502"/>
      <c r="F16" s="502"/>
      <c r="G16" s="502"/>
      <c r="H16" s="502"/>
      <c r="I16" s="502"/>
      <c r="J16" s="502"/>
      <c r="K16" s="503"/>
      <c r="L16" s="503"/>
      <c r="M16" s="198" t="str">
        <f t="shared" ref="M16:BC16" si="7">IFERROR(AVERAGE(M7:M15),"-")</f>
        <v>-</v>
      </c>
      <c r="N16" s="199" t="str">
        <f t="shared" si="7"/>
        <v>-</v>
      </c>
      <c r="O16" s="199" t="str">
        <f t="shared" si="7"/>
        <v>-</v>
      </c>
      <c r="P16" s="199" t="str">
        <f t="shared" si="7"/>
        <v>-</v>
      </c>
      <c r="Q16" s="199" t="str">
        <f t="shared" si="7"/>
        <v>-</v>
      </c>
      <c r="R16" s="199" t="str">
        <f t="shared" si="7"/>
        <v>-</v>
      </c>
      <c r="S16" s="199" t="str">
        <f t="shared" si="7"/>
        <v>-</v>
      </c>
      <c r="T16" s="199" t="str">
        <f t="shared" si="7"/>
        <v>-</v>
      </c>
      <c r="U16" s="178"/>
      <c r="V16" s="142"/>
      <c r="W16" s="473" t="str">
        <f>IFERROR(AVERAGE(W7:W15),"-")</f>
        <v>-</v>
      </c>
      <c r="X16" s="289" t="str">
        <f t="shared" si="7"/>
        <v>-</v>
      </c>
      <c r="Y16" s="69" t="str">
        <f t="shared" si="7"/>
        <v>-</v>
      </c>
      <c r="Z16" s="69" t="str">
        <f t="shared" si="7"/>
        <v>-</v>
      </c>
      <c r="AA16" s="69" t="str">
        <f t="shared" si="7"/>
        <v>-</v>
      </c>
      <c r="AB16" s="69" t="str">
        <f t="shared" si="7"/>
        <v>-</v>
      </c>
      <c r="AC16" s="69" t="str">
        <f t="shared" si="7"/>
        <v>-</v>
      </c>
      <c r="AD16" s="69" t="str">
        <f t="shared" si="7"/>
        <v>-</v>
      </c>
      <c r="AE16" s="69" t="str">
        <f t="shared" si="7"/>
        <v>-</v>
      </c>
      <c r="AF16" s="69" t="str">
        <f t="shared" si="7"/>
        <v>-</v>
      </c>
      <c r="AG16" s="69" t="str">
        <f t="shared" si="7"/>
        <v>-</v>
      </c>
      <c r="AH16" s="69" t="str">
        <f t="shared" si="7"/>
        <v>-</v>
      </c>
      <c r="AI16" s="142"/>
      <c r="AJ16" s="142"/>
      <c r="AK16" s="473" t="str">
        <f t="shared" si="7"/>
        <v>-</v>
      </c>
      <c r="AL16" s="198" t="str">
        <f t="shared" si="7"/>
        <v>-</v>
      </c>
      <c r="AM16" s="199" t="str">
        <f t="shared" si="7"/>
        <v>-</v>
      </c>
      <c r="AN16" s="199" t="str">
        <f t="shared" si="7"/>
        <v>-</v>
      </c>
      <c r="AO16" s="199" t="str">
        <f t="shared" si="7"/>
        <v>-</v>
      </c>
      <c r="AP16" s="199" t="str">
        <f t="shared" si="7"/>
        <v>-</v>
      </c>
      <c r="AQ16" s="199" t="str">
        <f t="shared" si="7"/>
        <v>-</v>
      </c>
      <c r="AR16" s="199" t="str">
        <f t="shared" si="7"/>
        <v>-</v>
      </c>
      <c r="AS16" s="199" t="str">
        <f t="shared" si="7"/>
        <v>-</v>
      </c>
      <c r="AT16" s="199" t="str">
        <f t="shared" si="7"/>
        <v>-</v>
      </c>
      <c r="AU16" s="199" t="str">
        <f t="shared" si="7"/>
        <v>-</v>
      </c>
      <c r="AV16" s="199" t="str">
        <f t="shared" si="7"/>
        <v>-</v>
      </c>
      <c r="AW16" s="178"/>
      <c r="AX16" s="142"/>
      <c r="AY16" s="473" t="str">
        <f t="shared" si="7"/>
        <v>-</v>
      </c>
      <c r="AZ16" s="198" t="str">
        <f t="shared" si="7"/>
        <v>-</v>
      </c>
      <c r="BA16" s="199" t="str">
        <f t="shared" si="7"/>
        <v>-</v>
      </c>
      <c r="BB16" s="199" t="str">
        <f t="shared" si="7"/>
        <v>-</v>
      </c>
      <c r="BC16" s="69" t="str">
        <f t="shared" si="7"/>
        <v>-</v>
      </c>
      <c r="BD16" s="577" t="str">
        <f>IFERROR(AVERAGE(BD7:BD15),"-")</f>
        <v>-</v>
      </c>
      <c r="BE16" s="193"/>
      <c r="BF16" s="194"/>
      <c r="BG16" s="195"/>
      <c r="BH16" s="196"/>
    </row>
    <row r="17" spans="1:60" ht="27" thickBot="1" x14ac:dyDescent="0.3">
      <c r="A17" s="29"/>
      <c r="B17" s="29"/>
      <c r="C17" s="29"/>
      <c r="D17" s="29"/>
      <c r="E17" s="29"/>
      <c r="F17" s="38"/>
      <c r="G17" s="126"/>
      <c r="H17" s="126"/>
      <c r="I17" s="29"/>
      <c r="J17" s="29"/>
      <c r="K17" s="29"/>
      <c r="L17" s="29"/>
      <c r="M17" s="224"/>
      <c r="N17" s="201"/>
      <c r="O17" s="201"/>
      <c r="P17" s="201"/>
      <c r="Q17" s="201"/>
      <c r="R17" s="201"/>
      <c r="S17" s="201"/>
      <c r="T17" s="201"/>
      <c r="U17" s="202"/>
      <c r="V17" s="214" t="s">
        <v>321</v>
      </c>
      <c r="W17" s="474"/>
      <c r="X17" s="290"/>
      <c r="Y17" s="291"/>
      <c r="Z17" s="291"/>
      <c r="AA17" s="291"/>
      <c r="AB17" s="291"/>
      <c r="AC17" s="291"/>
      <c r="AD17" s="291"/>
      <c r="AE17" s="291"/>
      <c r="AF17" s="291"/>
      <c r="AG17" s="291"/>
      <c r="AH17" s="292"/>
      <c r="AI17" s="214"/>
      <c r="AJ17" s="213" t="s">
        <v>296</v>
      </c>
      <c r="AK17" s="474"/>
      <c r="AL17" s="222"/>
      <c r="AM17" s="224"/>
      <c r="AN17" s="224"/>
      <c r="AO17" s="224"/>
      <c r="AP17" s="201"/>
      <c r="AQ17" s="201"/>
      <c r="AR17" s="201"/>
      <c r="AS17" s="201"/>
      <c r="AT17" s="201"/>
      <c r="AU17" s="201"/>
      <c r="AV17" s="208"/>
      <c r="AW17" s="238"/>
      <c r="AX17" s="216" t="s">
        <v>297</v>
      </c>
      <c r="AY17" s="474"/>
      <c r="AZ17" s="200"/>
      <c r="BA17" s="201"/>
      <c r="BB17" s="201"/>
      <c r="BC17" s="216" t="s">
        <v>294</v>
      </c>
      <c r="BD17" s="578"/>
      <c r="BE17" s="29"/>
      <c r="BF17" s="29"/>
      <c r="BG17" s="29"/>
      <c r="BH17" s="29"/>
    </row>
    <row r="19" spans="1:60" ht="45" x14ac:dyDescent="0.25">
      <c r="H19" s="517" t="s">
        <v>641</v>
      </c>
      <c r="I19" s="517"/>
      <c r="J19" s="517"/>
      <c r="K19" s="517"/>
      <c r="L19" s="314" t="s">
        <v>638</v>
      </c>
      <c r="M19" s="333" t="s">
        <v>639</v>
      </c>
      <c r="N19" s="316" t="s">
        <v>643</v>
      </c>
      <c r="O19" s="316" t="s">
        <v>644</v>
      </c>
      <c r="P19" s="317" t="s">
        <v>642</v>
      </c>
    </row>
    <row r="20" spans="1:60" x14ac:dyDescent="0.25">
      <c r="H20" s="521" t="s">
        <v>692</v>
      </c>
      <c r="I20" s="522"/>
      <c r="J20" s="522"/>
      <c r="K20" s="523"/>
      <c r="L20" s="353" t="s">
        <v>141</v>
      </c>
      <c r="M20" s="353">
        <v>0.25</v>
      </c>
      <c r="N20" s="353" t="str">
        <f>+IFERROR(AVERAGE(W7:W14),"-")</f>
        <v>-</v>
      </c>
      <c r="O20" s="353" t="str">
        <f>IFERROR(IF(W7&gt;=0.9,1,(W7*100%)/0.9),"-")</f>
        <v>-</v>
      </c>
      <c r="P20" s="335" t="str">
        <f>IFERROR(+IF(O20=100%,M20,(+O20*M20)),"-")</f>
        <v>-</v>
      </c>
    </row>
    <row r="21" spans="1:60" x14ac:dyDescent="0.25">
      <c r="H21" s="521" t="s">
        <v>428</v>
      </c>
      <c r="I21" s="522"/>
      <c r="J21" s="522"/>
      <c r="K21" s="523"/>
      <c r="L21" s="353">
        <v>0.3</v>
      </c>
      <c r="M21" s="353">
        <v>0.15</v>
      </c>
      <c r="N21" s="353" t="str">
        <f>+W15</f>
        <v>-</v>
      </c>
      <c r="O21" s="353" t="str">
        <f>IFERROR((N21*100%)/L21,"-")</f>
        <v>-</v>
      </c>
      <c r="P21" s="355" t="str">
        <f>+IFERROR(IF(O21=100%,M21,(+O21*M21)),"-")</f>
        <v>-</v>
      </c>
    </row>
    <row r="22" spans="1:60" x14ac:dyDescent="0.25">
      <c r="H22"/>
      <c r="M22" s="354">
        <f>SUM(M20:M21)</f>
        <v>0.4</v>
      </c>
      <c r="P22" s="354">
        <f>IFERROR(SUM(P20:P21),"-")</f>
        <v>0</v>
      </c>
    </row>
  </sheetData>
  <mergeCells count="44">
    <mergeCell ref="H19:K19"/>
    <mergeCell ref="H20:K20"/>
    <mergeCell ref="H21:K21"/>
    <mergeCell ref="A16:L16"/>
    <mergeCell ref="AZ5:BD5"/>
    <mergeCell ref="W16:W17"/>
    <mergeCell ref="AK16:AK17"/>
    <mergeCell ref="AY16:AY17"/>
    <mergeCell ref="BD16:BD17"/>
    <mergeCell ref="W5:W6"/>
    <mergeCell ref="AK5:AK6"/>
    <mergeCell ref="AY5:AY6"/>
    <mergeCell ref="V5:V6"/>
    <mergeCell ref="AI5:AI6"/>
    <mergeCell ref="AJ5:AJ6"/>
    <mergeCell ref="AW5:AW6"/>
    <mergeCell ref="AX5:AX6"/>
    <mergeCell ref="K5:K6"/>
    <mergeCell ref="BE5:BH5"/>
    <mergeCell ref="A7:A15"/>
    <mergeCell ref="B7:B15"/>
    <mergeCell ref="C7:C15"/>
    <mergeCell ref="D7:D15"/>
    <mergeCell ref="E7:E15"/>
    <mergeCell ref="F7:F15"/>
    <mergeCell ref="F5:F6"/>
    <mergeCell ref="G5:G6"/>
    <mergeCell ref="H5:H6"/>
    <mergeCell ref="I5:I6"/>
    <mergeCell ref="L5:L6"/>
    <mergeCell ref="E5:E6"/>
    <mergeCell ref="J5:J6"/>
    <mergeCell ref="U5:U6"/>
    <mergeCell ref="A4:D4"/>
    <mergeCell ref="A5:A6"/>
    <mergeCell ref="B5:B6"/>
    <mergeCell ref="C5:C6"/>
    <mergeCell ref="D5:D6"/>
    <mergeCell ref="A1:B1"/>
    <mergeCell ref="C1:BE1"/>
    <mergeCell ref="BF1:BH2"/>
    <mergeCell ref="A2:B3"/>
    <mergeCell ref="C2:BE3"/>
    <mergeCell ref="BF3:BH3"/>
  </mergeCells>
  <conditionalFormatting sqref="BD16 AZ7:AZ15 BB7:BD15">
    <cfRule type="cellIs" dxfId="20" priority="4" operator="lessThan">
      <formula>0.6</formula>
    </cfRule>
    <cfRule type="cellIs" dxfId="19" priority="5" operator="between">
      <formula>60%</formula>
      <formula>79%</formula>
    </cfRule>
    <cfRule type="cellIs" dxfId="18" priority="6" operator="between">
      <formula>80%</formula>
      <formula>100%</formula>
    </cfRule>
  </conditionalFormatting>
  <conditionalFormatting sqref="BA7:BA15">
    <cfRule type="cellIs" dxfId="17" priority="1" operator="lessThan">
      <formula>0.6</formula>
    </cfRule>
    <cfRule type="cellIs" dxfId="16" priority="2" operator="between">
      <formula>60%</formula>
      <formula>79%</formula>
    </cfRule>
    <cfRule type="cellIs" dxfId="15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"/>
  <sheetViews>
    <sheetView topLeftCell="I1" zoomScale="70" zoomScaleNormal="70" workbookViewId="0">
      <selection activeCell="N7" sqref="N7:O7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3.140625" customWidth="1"/>
    <col min="7" max="7" width="16.140625" customWidth="1"/>
    <col min="8" max="8" width="25.28515625" customWidth="1"/>
    <col min="9" max="11" width="14.42578125" customWidth="1"/>
    <col min="12" max="12" width="16.7109375" customWidth="1"/>
    <col min="13" max="13" width="19.42578125" customWidth="1"/>
    <col min="14" max="14" width="28.42578125" customWidth="1"/>
    <col min="15" max="15" width="22.7109375" customWidth="1"/>
    <col min="16" max="16" width="19.42578125" customWidth="1"/>
    <col min="17" max="17" width="19.42578125" hidden="1" customWidth="1"/>
    <col min="18" max="19" width="26.42578125" hidden="1" customWidth="1"/>
    <col min="20" max="24" width="19.42578125" hidden="1" customWidth="1"/>
    <col min="25" max="29" width="17.7109375" customWidth="1"/>
    <col min="30" max="33" width="26.5703125" customWidth="1"/>
  </cols>
  <sheetData>
    <row r="1" spans="1:33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96"/>
      <c r="AF1" s="496"/>
      <c r="AG1" s="496"/>
    </row>
    <row r="2" spans="1:33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96"/>
      <c r="AF2" s="496"/>
      <c r="AG2" s="496"/>
    </row>
    <row r="3" spans="1:33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97" t="s">
        <v>695</v>
      </c>
      <c r="AF3" s="497"/>
      <c r="AG3" s="497"/>
    </row>
    <row r="4" spans="1:33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57"/>
      <c r="O4" s="29"/>
      <c r="P4" s="29"/>
      <c r="Q4" s="57"/>
      <c r="R4" s="29"/>
      <c r="S4" s="29"/>
      <c r="T4" s="29"/>
      <c r="U4" s="57"/>
      <c r="V4" s="57"/>
      <c r="W4" s="57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575" t="s">
        <v>9</v>
      </c>
      <c r="M5" s="205" t="s">
        <v>335</v>
      </c>
      <c r="N5" s="548" t="s">
        <v>447</v>
      </c>
      <c r="O5" s="494" t="s">
        <v>569</v>
      </c>
      <c r="P5" s="485" t="s">
        <v>540</v>
      </c>
      <c r="Q5" s="205" t="s">
        <v>335</v>
      </c>
      <c r="R5" s="548" t="s">
        <v>447</v>
      </c>
      <c r="S5" s="494" t="s">
        <v>569</v>
      </c>
      <c r="T5" s="485" t="s">
        <v>543</v>
      </c>
      <c r="U5" s="205" t="s">
        <v>335</v>
      </c>
      <c r="V5" s="548" t="s">
        <v>447</v>
      </c>
      <c r="W5" s="494" t="s">
        <v>569</v>
      </c>
      <c r="X5" s="485" t="s">
        <v>544</v>
      </c>
      <c r="Y5" s="528" t="s">
        <v>11</v>
      </c>
      <c r="Z5" s="529"/>
      <c r="AA5" s="529"/>
      <c r="AB5" s="529"/>
      <c r="AC5" s="530"/>
      <c r="AD5" s="478" t="s">
        <v>197</v>
      </c>
      <c r="AE5" s="479"/>
      <c r="AF5" s="479"/>
      <c r="AG5" s="480"/>
    </row>
    <row r="6" spans="1:33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576"/>
      <c r="M6" s="173" t="s">
        <v>298</v>
      </c>
      <c r="N6" s="549"/>
      <c r="O6" s="495"/>
      <c r="P6" s="486"/>
      <c r="Q6" s="173" t="s">
        <v>287</v>
      </c>
      <c r="R6" s="549"/>
      <c r="S6" s="495"/>
      <c r="T6" s="486"/>
      <c r="U6" s="173" t="s">
        <v>320</v>
      </c>
      <c r="V6" s="549"/>
      <c r="W6" s="495"/>
      <c r="X6" s="486"/>
      <c r="Y6" s="182" t="s">
        <v>198</v>
      </c>
      <c r="Z6" s="5" t="s">
        <v>199</v>
      </c>
      <c r="AA6" s="5" t="s">
        <v>200</v>
      </c>
      <c r="AB6" s="5" t="s">
        <v>201</v>
      </c>
      <c r="AC6" s="183" t="s">
        <v>20</v>
      </c>
      <c r="AD6" s="187" t="s">
        <v>202</v>
      </c>
      <c r="AE6" s="33" t="s">
        <v>203</v>
      </c>
      <c r="AF6" s="33" t="s">
        <v>204</v>
      </c>
      <c r="AG6" s="188" t="s">
        <v>205</v>
      </c>
    </row>
    <row r="7" spans="1:33" ht="127.5" customHeight="1" x14ac:dyDescent="0.25">
      <c r="A7" s="343" t="s">
        <v>219</v>
      </c>
      <c r="B7" s="345" t="s">
        <v>332</v>
      </c>
      <c r="C7" s="340" t="s">
        <v>333</v>
      </c>
      <c r="D7" s="340" t="s">
        <v>147</v>
      </c>
      <c r="E7" s="340" t="s">
        <v>221</v>
      </c>
      <c r="F7" s="342" t="s">
        <v>334</v>
      </c>
      <c r="G7" s="89" t="s">
        <v>519</v>
      </c>
      <c r="H7" s="89" t="s">
        <v>517</v>
      </c>
      <c r="I7" s="85" t="s">
        <v>141</v>
      </c>
      <c r="J7" s="85" t="s">
        <v>546</v>
      </c>
      <c r="K7" s="157" t="s">
        <v>497</v>
      </c>
      <c r="L7" s="349" t="s">
        <v>555</v>
      </c>
      <c r="M7" s="174"/>
      <c r="N7" s="56"/>
      <c r="O7" s="56"/>
      <c r="P7" s="175">
        <f>+M7</f>
        <v>0</v>
      </c>
      <c r="Q7" s="174" t="s">
        <v>452</v>
      </c>
      <c r="R7" s="56"/>
      <c r="S7" s="56"/>
      <c r="T7" s="175" t="str">
        <f>+Q7</f>
        <v>-</v>
      </c>
      <c r="U7" s="181" t="s">
        <v>452</v>
      </c>
      <c r="V7" s="90"/>
      <c r="W7" s="90"/>
      <c r="X7" s="203" t="str">
        <f>+U7</f>
        <v>-</v>
      </c>
      <c r="Y7" s="184" t="s">
        <v>225</v>
      </c>
      <c r="Z7" s="386">
        <f>IFERROR(IF(P7&gt;=0.9,1,(P7*100%)/0.9),"-")</f>
        <v>0</v>
      </c>
      <c r="AA7" s="26" t="str">
        <f>IFERROR((T7*100%)/I7,"-")</f>
        <v>-</v>
      </c>
      <c r="AB7" s="26" t="str">
        <f>IFERROR((X7*100%)/$I$7,"-")</f>
        <v>-</v>
      </c>
      <c r="AC7" s="388">
        <f>IFERROR(AVERAGE(Y7:AB7),"-")</f>
        <v>0</v>
      </c>
      <c r="AD7" s="189"/>
      <c r="AE7" s="35"/>
      <c r="AF7" s="36"/>
      <c r="AG7" s="190"/>
    </row>
    <row r="8" spans="1:33" ht="27" customHeight="1" thickBot="1" x14ac:dyDescent="0.3">
      <c r="A8" s="501" t="s">
        <v>293</v>
      </c>
      <c r="B8" s="502"/>
      <c r="C8" s="502"/>
      <c r="D8" s="502"/>
      <c r="E8" s="502"/>
      <c r="F8" s="502"/>
      <c r="G8" s="502"/>
      <c r="H8" s="502"/>
      <c r="I8" s="502"/>
      <c r="J8" s="502"/>
      <c r="K8" s="502"/>
      <c r="L8" s="503"/>
      <c r="M8" s="198" t="str">
        <f>IFERROR(AVERAGE(M7:M7),"-")</f>
        <v>-</v>
      </c>
      <c r="N8" s="209"/>
      <c r="O8" s="147"/>
      <c r="P8" s="473">
        <f>IFERROR(AVERAGE(P7:P7),"-")</f>
        <v>0</v>
      </c>
      <c r="Q8" s="177" t="str">
        <f>IFERROR(AVERAGE(Q7:Q7),"-")</f>
        <v>-</v>
      </c>
      <c r="R8" s="209"/>
      <c r="S8" s="147"/>
      <c r="T8" s="590" t="str">
        <f>IFERROR(AVERAGE(T7:T7),"-")</f>
        <v>-</v>
      </c>
      <c r="U8" s="177" t="str">
        <f>IFERROR(AVERAGE(U7:U7),"-")</f>
        <v>-</v>
      </c>
      <c r="V8" s="209"/>
      <c r="W8" s="147"/>
      <c r="X8" s="590" t="str">
        <f t="shared" ref="X8:AC8" si="0">IFERROR(AVERAGE(X7:X7),"-")</f>
        <v>-</v>
      </c>
      <c r="Y8" s="198" t="str">
        <f t="shared" si="0"/>
        <v>-</v>
      </c>
      <c r="Z8" s="199">
        <f t="shared" si="0"/>
        <v>0</v>
      </c>
      <c r="AA8" s="199" t="str">
        <f t="shared" si="0"/>
        <v>-</v>
      </c>
      <c r="AB8" s="69" t="str">
        <f t="shared" si="0"/>
        <v>-</v>
      </c>
      <c r="AC8" s="558">
        <f t="shared" si="0"/>
        <v>0</v>
      </c>
      <c r="AD8" s="193"/>
      <c r="AE8" s="194"/>
      <c r="AF8" s="195"/>
      <c r="AG8" s="196"/>
    </row>
    <row r="9" spans="1:33" ht="27" thickBot="1" x14ac:dyDescent="0.3">
      <c r="A9" s="29"/>
      <c r="B9" s="29"/>
      <c r="C9" s="29"/>
      <c r="D9" s="29"/>
      <c r="E9" s="29"/>
      <c r="F9" s="38"/>
      <c r="G9" s="29"/>
      <c r="H9" s="29"/>
      <c r="I9" s="29"/>
      <c r="J9" s="29"/>
      <c r="K9" s="29"/>
      <c r="L9" s="29"/>
      <c r="M9" s="179"/>
      <c r="N9" s="271"/>
      <c r="O9" s="385" t="s">
        <v>321</v>
      </c>
      <c r="P9" s="474"/>
      <c r="Q9" s="197"/>
      <c r="R9" s="180"/>
      <c r="S9" s="176" t="s">
        <v>296</v>
      </c>
      <c r="T9" s="591"/>
      <c r="U9" s="197"/>
      <c r="V9" s="271"/>
      <c r="W9" s="176" t="s">
        <v>297</v>
      </c>
      <c r="X9" s="591"/>
      <c r="Y9" s="200"/>
      <c r="Z9" s="201"/>
      <c r="AA9" s="202"/>
      <c r="AB9" s="186" t="s">
        <v>294</v>
      </c>
      <c r="AC9" s="559"/>
      <c r="AD9" s="29"/>
      <c r="AE9" s="29"/>
      <c r="AF9" s="29"/>
      <c r="AG9" s="29"/>
    </row>
  </sheetData>
  <mergeCells count="35">
    <mergeCell ref="A1:B1"/>
    <mergeCell ref="C1:AD1"/>
    <mergeCell ref="AE1:AG2"/>
    <mergeCell ref="A2:B3"/>
    <mergeCell ref="C2:AD3"/>
    <mergeCell ref="AE3:AG3"/>
    <mergeCell ref="A4:D4"/>
    <mergeCell ref="A5:A6"/>
    <mergeCell ref="B5:B6"/>
    <mergeCell ref="C5:C6"/>
    <mergeCell ref="D5:D6"/>
    <mergeCell ref="AD5:AG5"/>
    <mergeCell ref="W5:W6"/>
    <mergeCell ref="X8:X9"/>
    <mergeCell ref="AC8:AC9"/>
    <mergeCell ref="L5:L6"/>
    <mergeCell ref="N5:N6"/>
    <mergeCell ref="O5:O6"/>
    <mergeCell ref="R5:R6"/>
    <mergeCell ref="S5:S6"/>
    <mergeCell ref="V5:V6"/>
    <mergeCell ref="P5:P6"/>
    <mergeCell ref="T5:T6"/>
    <mergeCell ref="T8:T9"/>
    <mergeCell ref="A8:L8"/>
    <mergeCell ref="P8:P9"/>
    <mergeCell ref="X5:X6"/>
    <mergeCell ref="Y5:AC5"/>
    <mergeCell ref="E5:E6"/>
    <mergeCell ref="F5:F6"/>
    <mergeCell ref="G5:G6"/>
    <mergeCell ref="H5:H6"/>
    <mergeCell ref="I5:I6"/>
    <mergeCell ref="J5:J6"/>
    <mergeCell ref="K5:K6"/>
  </mergeCells>
  <conditionalFormatting sqref="AC8 Y7:AC7">
    <cfRule type="cellIs" dxfId="14" priority="1" operator="lessThan">
      <formula>0.6</formula>
    </cfRule>
    <cfRule type="cellIs" dxfId="13" priority="2" operator="between">
      <formula>60%</formula>
      <formula>79%</formula>
    </cfRule>
    <cfRule type="cellIs" dxfId="12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6" workbookViewId="0">
      <selection activeCell="D17" sqref="D17"/>
    </sheetView>
  </sheetViews>
  <sheetFormatPr baseColWidth="10" defaultRowHeight="12.75" x14ac:dyDescent="0.2"/>
  <cols>
    <col min="1" max="1" width="31.7109375" style="320" customWidth="1"/>
    <col min="2" max="2" width="66.7109375" style="320" customWidth="1"/>
    <col min="3" max="4" width="11.42578125" style="320" customWidth="1"/>
    <col min="5" max="16384" width="11.42578125" style="320"/>
  </cols>
  <sheetData>
    <row r="1" spans="1:4" ht="15" customHeight="1" x14ac:dyDescent="0.2">
      <c r="A1" s="441" t="s">
        <v>623</v>
      </c>
      <c r="B1" s="441"/>
    </row>
    <row r="2" spans="1:4" ht="15" customHeight="1" x14ac:dyDescent="0.2">
      <c r="A2" s="441" t="s">
        <v>626</v>
      </c>
      <c r="B2" s="441"/>
    </row>
    <row r="3" spans="1:4" ht="15" customHeight="1" x14ac:dyDescent="0.2">
      <c r="A3" s="334"/>
      <c r="B3" s="334"/>
    </row>
    <row r="4" spans="1:4" ht="15" customHeight="1" x14ac:dyDescent="0.2">
      <c r="A4" s="334"/>
      <c r="B4" s="334"/>
    </row>
    <row r="5" spans="1:4" ht="15" customHeight="1" x14ac:dyDescent="0.2">
      <c r="A5" s="334"/>
      <c r="B5" s="334"/>
    </row>
    <row r="6" spans="1:4" ht="15" customHeight="1" x14ac:dyDescent="0.2">
      <c r="A6" s="334"/>
      <c r="B6" s="334"/>
    </row>
    <row r="7" spans="1:4" ht="15" customHeight="1" x14ac:dyDescent="0.2">
      <c r="A7" s="334"/>
      <c r="B7" s="334"/>
    </row>
    <row r="8" spans="1:4" ht="30.75" customHeight="1" x14ac:dyDescent="0.2">
      <c r="A8" s="443" t="s">
        <v>633</v>
      </c>
      <c r="B8" s="443"/>
      <c r="C8" s="321"/>
      <c r="D8" s="321"/>
    </row>
    <row r="9" spans="1:4" ht="30.75" customHeight="1" x14ac:dyDescent="0.2">
      <c r="A9" s="444" t="s">
        <v>636</v>
      </c>
      <c r="B9" s="444"/>
      <c r="D9" s="321"/>
    </row>
    <row r="10" spans="1:4" ht="26.25" customHeight="1" x14ac:dyDescent="0.2">
      <c r="A10" s="325" t="s">
        <v>1</v>
      </c>
      <c r="B10" s="325" t="s">
        <v>650</v>
      </c>
      <c r="C10" s="321"/>
      <c r="D10" s="321"/>
    </row>
    <row r="11" spans="1:4" x14ac:dyDescent="0.2">
      <c r="A11" s="325" t="s">
        <v>3</v>
      </c>
      <c r="B11" s="325" t="s">
        <v>651</v>
      </c>
      <c r="C11" s="321"/>
      <c r="D11" s="321"/>
    </row>
    <row r="12" spans="1:4" x14ac:dyDescent="0.2">
      <c r="A12" s="325" t="s">
        <v>194</v>
      </c>
      <c r="B12" s="325" t="s">
        <v>663</v>
      </c>
      <c r="C12" s="321"/>
      <c r="D12" s="321"/>
    </row>
    <row r="13" spans="1:4" x14ac:dyDescent="0.2">
      <c r="A13" s="325" t="s">
        <v>195</v>
      </c>
      <c r="B13" s="325" t="s">
        <v>652</v>
      </c>
      <c r="C13" s="321"/>
      <c r="D13" s="321"/>
    </row>
    <row r="14" spans="1:4" ht="25.5" x14ac:dyDescent="0.2">
      <c r="A14" s="325" t="s">
        <v>196</v>
      </c>
      <c r="B14" s="325" t="s">
        <v>654</v>
      </c>
      <c r="C14" s="321"/>
      <c r="D14" s="321"/>
    </row>
    <row r="15" spans="1:4" ht="30" customHeight="1" x14ac:dyDescent="0.2">
      <c r="A15" s="326" t="s">
        <v>230</v>
      </c>
      <c r="B15" s="326" t="s">
        <v>653</v>
      </c>
      <c r="C15" s="321"/>
      <c r="D15" s="321"/>
    </row>
    <row r="16" spans="1:4" ht="38.25" x14ac:dyDescent="0.2">
      <c r="A16" s="325" t="s">
        <v>227</v>
      </c>
      <c r="B16" s="325" t="s">
        <v>664</v>
      </c>
      <c r="C16" s="321"/>
      <c r="D16" s="321"/>
    </row>
    <row r="17" spans="1:4" ht="25.5" x14ac:dyDescent="0.2">
      <c r="A17" s="325" t="s">
        <v>655</v>
      </c>
      <c r="B17" s="325" t="s">
        <v>656</v>
      </c>
      <c r="C17" s="321"/>
      <c r="D17" s="321"/>
    </row>
    <row r="18" spans="1:4" ht="25.5" x14ac:dyDescent="0.2">
      <c r="A18" s="325" t="s">
        <v>8</v>
      </c>
      <c r="B18" s="325" t="s">
        <v>657</v>
      </c>
      <c r="C18" s="321"/>
      <c r="D18" s="321"/>
    </row>
    <row r="19" spans="1:4" x14ac:dyDescent="0.2">
      <c r="A19" s="325" t="s">
        <v>545</v>
      </c>
      <c r="B19" s="325" t="s">
        <v>658</v>
      </c>
      <c r="C19" s="321"/>
      <c r="D19" s="321"/>
    </row>
    <row r="20" spans="1:4" x14ac:dyDescent="0.2">
      <c r="A20" s="325" t="s">
        <v>9</v>
      </c>
      <c r="B20" s="325" t="s">
        <v>659</v>
      </c>
      <c r="C20" s="321"/>
      <c r="D20" s="321"/>
    </row>
    <row r="21" spans="1:4" ht="5.25" customHeight="1" x14ac:dyDescent="0.2">
      <c r="A21" s="327"/>
      <c r="B21" s="328"/>
      <c r="C21" s="321"/>
      <c r="D21" s="321"/>
    </row>
    <row r="22" spans="1:4" ht="25.5" x14ac:dyDescent="0.2">
      <c r="A22" s="442" t="s">
        <v>624</v>
      </c>
      <c r="B22" s="322" t="s">
        <v>630</v>
      </c>
    </row>
    <row r="23" spans="1:4" ht="38.25" x14ac:dyDescent="0.2">
      <c r="A23" s="442"/>
      <c r="B23" s="322" t="s">
        <v>627</v>
      </c>
    </row>
    <row r="24" spans="1:4" ht="63.75" x14ac:dyDescent="0.2">
      <c r="A24" s="89" t="s">
        <v>447</v>
      </c>
      <c r="B24" s="89" t="s">
        <v>628</v>
      </c>
    </row>
    <row r="25" spans="1:4" ht="25.5" x14ac:dyDescent="0.2">
      <c r="A25" s="323" t="s">
        <v>631</v>
      </c>
      <c r="B25" s="329" t="s">
        <v>661</v>
      </c>
    </row>
    <row r="26" spans="1:4" ht="25.5" x14ac:dyDescent="0.2">
      <c r="A26" s="323" t="s">
        <v>660</v>
      </c>
      <c r="B26" s="323" t="s">
        <v>632</v>
      </c>
    </row>
    <row r="27" spans="1:4" ht="25.5" x14ac:dyDescent="0.2">
      <c r="A27" s="323" t="s">
        <v>634</v>
      </c>
      <c r="B27" s="323" t="s">
        <v>635</v>
      </c>
    </row>
    <row r="28" spans="1:4" x14ac:dyDescent="0.2">
      <c r="A28" s="330" t="s">
        <v>617</v>
      </c>
      <c r="B28" s="329" t="s">
        <v>661</v>
      </c>
    </row>
    <row r="29" spans="1:4" x14ac:dyDescent="0.2">
      <c r="A29" s="331"/>
      <c r="B29" s="332"/>
    </row>
    <row r="30" spans="1:4" x14ac:dyDescent="0.2">
      <c r="A30" s="331"/>
      <c r="B30" s="332"/>
    </row>
    <row r="31" spans="1:4" x14ac:dyDescent="0.2">
      <c r="A31" s="331"/>
      <c r="B31" s="332"/>
    </row>
    <row r="32" spans="1:4" x14ac:dyDescent="0.2">
      <c r="A32" s="331"/>
      <c r="B32" s="332"/>
    </row>
    <row r="33" spans="1:2" x14ac:dyDescent="0.2">
      <c r="A33" s="331"/>
      <c r="B33" s="332"/>
    </row>
    <row r="34" spans="1:2" x14ac:dyDescent="0.2">
      <c r="A34" s="331"/>
      <c r="B34" s="332"/>
    </row>
    <row r="35" spans="1:2" x14ac:dyDescent="0.2">
      <c r="A35" s="331"/>
      <c r="B35" s="332"/>
    </row>
    <row r="36" spans="1:2" x14ac:dyDescent="0.2">
      <c r="A36" s="331"/>
      <c r="B36" s="332"/>
    </row>
    <row r="37" spans="1:2" x14ac:dyDescent="0.2">
      <c r="A37" s="320" t="s">
        <v>662</v>
      </c>
    </row>
    <row r="38" spans="1:2" x14ac:dyDescent="0.2">
      <c r="A38" s="14"/>
      <c r="B38" s="324"/>
    </row>
    <row r="39" spans="1:2" x14ac:dyDescent="0.2">
      <c r="A39" s="337" t="s">
        <v>674</v>
      </c>
      <c r="B39" s="89" t="s">
        <v>675</v>
      </c>
    </row>
    <row r="40" spans="1:2" ht="25.5" x14ac:dyDescent="0.2">
      <c r="A40" s="89" t="s">
        <v>196</v>
      </c>
      <c r="B40" s="323" t="s">
        <v>676</v>
      </c>
    </row>
    <row r="41" spans="1:2" x14ac:dyDescent="0.2">
      <c r="A41" s="89" t="s">
        <v>678</v>
      </c>
      <c r="B41" s="323" t="s">
        <v>677</v>
      </c>
    </row>
    <row r="42" spans="1:2" x14ac:dyDescent="0.2">
      <c r="A42" s="337" t="s">
        <v>679</v>
      </c>
      <c r="B42" s="337" t="s">
        <v>680</v>
      </c>
    </row>
    <row r="43" spans="1:2" ht="76.5" x14ac:dyDescent="0.2">
      <c r="A43" s="89" t="s">
        <v>681</v>
      </c>
      <c r="B43" s="323" t="s">
        <v>685</v>
      </c>
    </row>
    <row r="44" spans="1:2" ht="38.25" x14ac:dyDescent="0.2">
      <c r="A44" s="89" t="s">
        <v>682</v>
      </c>
      <c r="B44" s="89" t="s">
        <v>683</v>
      </c>
    </row>
  </sheetData>
  <mergeCells count="5">
    <mergeCell ref="A1:B1"/>
    <mergeCell ref="A2:B2"/>
    <mergeCell ref="A22:A23"/>
    <mergeCell ref="A8:B8"/>
    <mergeCell ref="A9:B9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F1" zoomScale="70" zoomScaleNormal="70" workbookViewId="0">
      <selection activeCell="N7" sqref="N7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3.140625" customWidth="1"/>
    <col min="7" max="7" width="16.140625" customWidth="1"/>
    <col min="8" max="8" width="25.28515625" customWidth="1"/>
    <col min="9" max="11" width="14.42578125" customWidth="1"/>
    <col min="12" max="12" width="16.7109375" customWidth="1"/>
    <col min="13" max="16" width="19.42578125" customWidth="1"/>
    <col min="17" max="17" width="19.42578125" hidden="1" customWidth="1"/>
    <col min="18" max="18" width="29.28515625" hidden="1" customWidth="1"/>
    <col min="19" max="21" width="19.42578125" hidden="1" customWidth="1"/>
    <col min="22" max="22" width="29.28515625" hidden="1" customWidth="1"/>
    <col min="23" max="24" width="19.42578125" hidden="1" customWidth="1"/>
    <col min="25" max="29" width="17.7109375" customWidth="1"/>
    <col min="30" max="33" width="26.5703125" customWidth="1"/>
  </cols>
  <sheetData>
    <row r="1" spans="1:33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96"/>
      <c r="AF1" s="496"/>
      <c r="AG1" s="496"/>
    </row>
    <row r="2" spans="1:33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96"/>
      <c r="AF2" s="496"/>
      <c r="AG2" s="496"/>
    </row>
    <row r="3" spans="1:33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97" t="s">
        <v>695</v>
      </c>
      <c r="AF3" s="497"/>
      <c r="AG3" s="497"/>
    </row>
    <row r="4" spans="1:33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29"/>
      <c r="O4" s="29"/>
      <c r="P4" s="29"/>
      <c r="Q4" s="57"/>
      <c r="R4" s="29"/>
      <c r="S4" s="29"/>
      <c r="T4" s="29"/>
      <c r="U4" s="57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577</v>
      </c>
      <c r="L5" s="575" t="s">
        <v>9</v>
      </c>
      <c r="M5" s="205" t="s">
        <v>339</v>
      </c>
      <c r="N5" s="548" t="s">
        <v>447</v>
      </c>
      <c r="O5" s="494" t="s">
        <v>569</v>
      </c>
      <c r="P5" s="485" t="s">
        <v>540</v>
      </c>
      <c r="Q5" s="205" t="s">
        <v>339</v>
      </c>
      <c r="R5" s="548" t="s">
        <v>447</v>
      </c>
      <c r="S5" s="494" t="s">
        <v>569</v>
      </c>
      <c r="T5" s="485" t="s">
        <v>543</v>
      </c>
      <c r="U5" s="205" t="s">
        <v>339</v>
      </c>
      <c r="V5" s="548" t="s">
        <v>447</v>
      </c>
      <c r="W5" s="494" t="s">
        <v>569</v>
      </c>
      <c r="X5" s="485" t="s">
        <v>324</v>
      </c>
      <c r="Y5" s="528" t="s">
        <v>11</v>
      </c>
      <c r="Z5" s="529"/>
      <c r="AA5" s="529"/>
      <c r="AB5" s="529"/>
      <c r="AC5" s="530"/>
      <c r="AD5" s="478" t="s">
        <v>197</v>
      </c>
      <c r="AE5" s="479"/>
      <c r="AF5" s="479"/>
      <c r="AG5" s="480"/>
    </row>
    <row r="6" spans="1:33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576"/>
      <c r="M6" s="173" t="s">
        <v>298</v>
      </c>
      <c r="N6" s="549"/>
      <c r="O6" s="495"/>
      <c r="P6" s="486"/>
      <c r="Q6" s="173" t="s">
        <v>287</v>
      </c>
      <c r="R6" s="549"/>
      <c r="S6" s="495"/>
      <c r="T6" s="486"/>
      <c r="U6" s="173" t="s">
        <v>320</v>
      </c>
      <c r="V6" s="549"/>
      <c r="W6" s="495"/>
      <c r="X6" s="486"/>
      <c r="Y6" s="182" t="s">
        <v>198</v>
      </c>
      <c r="Z6" s="5" t="s">
        <v>199</v>
      </c>
      <c r="AA6" s="5" t="s">
        <v>200</v>
      </c>
      <c r="AB6" s="5" t="s">
        <v>201</v>
      </c>
      <c r="AC6" s="183" t="s">
        <v>20</v>
      </c>
      <c r="AD6" s="187" t="s">
        <v>202</v>
      </c>
      <c r="AE6" s="33" t="s">
        <v>203</v>
      </c>
      <c r="AF6" s="33" t="s">
        <v>204</v>
      </c>
      <c r="AG6" s="188" t="s">
        <v>205</v>
      </c>
    </row>
    <row r="7" spans="1:33" ht="129.75" customHeight="1" x14ac:dyDescent="0.25">
      <c r="A7" s="343" t="s">
        <v>219</v>
      </c>
      <c r="B7" s="345" t="s">
        <v>332</v>
      </c>
      <c r="C7" s="340" t="s">
        <v>333</v>
      </c>
      <c r="D7" s="340" t="s">
        <v>220</v>
      </c>
      <c r="E7" s="340" t="s">
        <v>337</v>
      </c>
      <c r="F7" s="342" t="s">
        <v>338</v>
      </c>
      <c r="G7" s="89" t="s">
        <v>518</v>
      </c>
      <c r="H7" s="89" t="s">
        <v>517</v>
      </c>
      <c r="I7" s="85">
        <v>0.9</v>
      </c>
      <c r="J7" s="170" t="s">
        <v>546</v>
      </c>
      <c r="K7" s="157" t="s">
        <v>497</v>
      </c>
      <c r="L7" s="349" t="s">
        <v>556</v>
      </c>
      <c r="M7" s="174"/>
      <c r="N7" s="56"/>
      <c r="O7" s="56"/>
      <c r="P7" s="175">
        <f>+M7</f>
        <v>0</v>
      </c>
      <c r="Q7" s="174" t="s">
        <v>452</v>
      </c>
      <c r="R7" s="56" t="s">
        <v>570</v>
      </c>
      <c r="S7" s="56"/>
      <c r="T7" s="175" t="str">
        <f>+Q7</f>
        <v>-</v>
      </c>
      <c r="U7" s="181" t="s">
        <v>452</v>
      </c>
      <c r="V7" s="56" t="s">
        <v>570</v>
      </c>
      <c r="W7" s="56"/>
      <c r="X7" s="203" t="str">
        <f>+U7</f>
        <v>-</v>
      </c>
      <c r="Y7" s="184" t="s">
        <v>225</v>
      </c>
      <c r="Z7" s="26">
        <f>IFERROR(IF(P7&gt;=0.9,1,(P7*100%)/0.9),"-")</f>
        <v>0</v>
      </c>
      <c r="AA7" s="26" t="str">
        <f>IFERROR((T7*100%)/$I$7,"-")</f>
        <v>-</v>
      </c>
      <c r="AB7" s="26" t="str">
        <f>IFERROR((X7*100%)/$I$7,"-")</f>
        <v>-</v>
      </c>
      <c r="AC7" s="185">
        <f>IFERROR(AVERAGE(Y7:AB7),"-")</f>
        <v>0</v>
      </c>
      <c r="AD7" s="189"/>
      <c r="AE7" s="35"/>
      <c r="AF7" s="36"/>
      <c r="AG7" s="190"/>
    </row>
    <row r="8" spans="1:33" ht="27" customHeight="1" thickBot="1" x14ac:dyDescent="0.3">
      <c r="A8" s="550" t="s">
        <v>293</v>
      </c>
      <c r="B8" s="551"/>
      <c r="C8" s="551"/>
      <c r="D8" s="551"/>
      <c r="E8" s="551"/>
      <c r="F8" s="551"/>
      <c r="G8" s="551"/>
      <c r="H8" s="551"/>
      <c r="I8" s="551"/>
      <c r="J8" s="551"/>
      <c r="K8" s="551"/>
      <c r="L8" s="551"/>
      <c r="M8" s="177" t="str">
        <f t="shared" ref="M8:AC8" si="0">IFERROR(AVERAGE(M7:M7),"-")</f>
        <v>-</v>
      </c>
      <c r="N8" s="272" t="str">
        <f t="shared" si="0"/>
        <v>-</v>
      </c>
      <c r="O8" s="92" t="str">
        <f t="shared" si="0"/>
        <v>-</v>
      </c>
      <c r="P8" s="592">
        <f t="shared" si="0"/>
        <v>0</v>
      </c>
      <c r="Q8" s="177" t="str">
        <f t="shared" si="0"/>
        <v>-</v>
      </c>
      <c r="R8" s="272" t="str">
        <f t="shared" si="0"/>
        <v>-</v>
      </c>
      <c r="S8" s="92" t="str">
        <f t="shared" si="0"/>
        <v>-</v>
      </c>
      <c r="T8" s="592" t="str">
        <f t="shared" si="0"/>
        <v>-</v>
      </c>
      <c r="U8" s="177" t="str">
        <f t="shared" si="0"/>
        <v>-</v>
      </c>
      <c r="V8" s="272" t="str">
        <f t="shared" si="0"/>
        <v>-</v>
      </c>
      <c r="W8" s="92" t="str">
        <f t="shared" si="0"/>
        <v>-</v>
      </c>
      <c r="X8" s="592" t="str">
        <f t="shared" si="0"/>
        <v>-</v>
      </c>
      <c r="Y8" s="198" t="str">
        <f t="shared" si="0"/>
        <v>-</v>
      </c>
      <c r="Z8" s="199">
        <f t="shared" si="0"/>
        <v>0</v>
      </c>
      <c r="AA8" s="199" t="str">
        <f t="shared" si="0"/>
        <v>-</v>
      </c>
      <c r="AB8" s="69" t="str">
        <f t="shared" si="0"/>
        <v>-</v>
      </c>
      <c r="AC8" s="558">
        <f t="shared" si="0"/>
        <v>0</v>
      </c>
      <c r="AD8" s="193"/>
      <c r="AE8" s="194"/>
      <c r="AF8" s="195"/>
      <c r="AG8" s="196"/>
    </row>
    <row r="9" spans="1:33" ht="27" thickBot="1" x14ac:dyDescent="0.3">
      <c r="A9" s="29"/>
      <c r="B9" s="29"/>
      <c r="C9" s="29"/>
      <c r="D9" s="29"/>
      <c r="E9" s="29"/>
      <c r="F9" s="38"/>
      <c r="G9" s="29"/>
      <c r="H9" s="29"/>
      <c r="I9" s="29"/>
      <c r="J9" s="29"/>
      <c r="K9" s="29"/>
      <c r="L9" s="29"/>
      <c r="M9" s="179"/>
      <c r="N9" s="180"/>
      <c r="O9" s="176" t="s">
        <v>321</v>
      </c>
      <c r="P9" s="593"/>
      <c r="Q9" s="197"/>
      <c r="R9" s="180"/>
      <c r="S9" s="176" t="s">
        <v>296</v>
      </c>
      <c r="T9" s="593"/>
      <c r="U9" s="197"/>
      <c r="V9" s="180"/>
      <c r="W9" s="176" t="s">
        <v>571</v>
      </c>
      <c r="X9" s="593"/>
      <c r="Y9" s="200"/>
      <c r="Z9" s="201"/>
      <c r="AA9" s="202"/>
      <c r="AB9" s="186" t="s">
        <v>294</v>
      </c>
      <c r="AC9" s="559"/>
      <c r="AD9" s="29"/>
      <c r="AE9" s="29"/>
      <c r="AF9" s="29"/>
      <c r="AG9" s="29"/>
    </row>
  </sheetData>
  <mergeCells count="35">
    <mergeCell ref="A1:B1"/>
    <mergeCell ref="C1:AD1"/>
    <mergeCell ref="AE1:AG2"/>
    <mergeCell ref="A2:B3"/>
    <mergeCell ref="C2:AD3"/>
    <mergeCell ref="AE3:AG3"/>
    <mergeCell ref="A4:D4"/>
    <mergeCell ref="A5:A6"/>
    <mergeCell ref="B5:B6"/>
    <mergeCell ref="C5:C6"/>
    <mergeCell ref="D5:D6"/>
    <mergeCell ref="AD5:AG5"/>
    <mergeCell ref="W5:W6"/>
    <mergeCell ref="X8:X9"/>
    <mergeCell ref="AC8:AC9"/>
    <mergeCell ref="L5:L6"/>
    <mergeCell ref="N5:N6"/>
    <mergeCell ref="O5:O6"/>
    <mergeCell ref="R5:R6"/>
    <mergeCell ref="S5:S6"/>
    <mergeCell ref="V5:V6"/>
    <mergeCell ref="P5:P6"/>
    <mergeCell ref="T5:T6"/>
    <mergeCell ref="T8:T9"/>
    <mergeCell ref="A8:L8"/>
    <mergeCell ref="P8:P9"/>
    <mergeCell ref="X5:X6"/>
    <mergeCell ref="Y5:AC5"/>
    <mergeCell ref="E5:E6"/>
    <mergeCell ref="F5:F6"/>
    <mergeCell ref="G5:G6"/>
    <mergeCell ref="H5:H6"/>
    <mergeCell ref="I5:I6"/>
    <mergeCell ref="J5:J6"/>
    <mergeCell ref="K5:K6"/>
  </mergeCells>
  <conditionalFormatting sqref="AC8 Y7:AC7">
    <cfRule type="cellIs" dxfId="11" priority="1" operator="lessThan">
      <formula>0.6</formula>
    </cfRule>
    <cfRule type="cellIs" dxfId="10" priority="2" operator="between">
      <formula>60%</formula>
      <formula>79%</formula>
    </cfRule>
    <cfRule type="cellIs" dxfId="9" priority="3" operator="between">
      <formula>80%</formula>
      <formula>100%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E1" zoomScale="70" zoomScaleNormal="70" workbookViewId="0">
      <selection activeCell="N7" sqref="N7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3.140625" customWidth="1"/>
    <col min="7" max="7" width="16.140625" customWidth="1"/>
    <col min="8" max="8" width="25.28515625" customWidth="1"/>
    <col min="9" max="11" width="14.42578125" customWidth="1"/>
    <col min="12" max="12" width="16.7109375" customWidth="1"/>
    <col min="13" max="16" width="19.42578125" customWidth="1"/>
    <col min="17" max="17" width="19.42578125" hidden="1" customWidth="1"/>
    <col min="18" max="18" width="29.28515625" hidden="1" customWidth="1"/>
    <col min="19" max="21" width="19.42578125" hidden="1" customWidth="1"/>
    <col min="22" max="22" width="29.28515625" hidden="1" customWidth="1"/>
    <col min="23" max="24" width="19.42578125" hidden="1" customWidth="1"/>
    <col min="25" max="29" width="17.7109375" customWidth="1"/>
    <col min="30" max="33" width="26.5703125" customWidth="1"/>
  </cols>
  <sheetData>
    <row r="1" spans="1:33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96"/>
      <c r="AF1" s="496"/>
      <c r="AG1" s="496"/>
    </row>
    <row r="2" spans="1:33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96"/>
      <c r="AF2" s="496"/>
      <c r="AG2" s="496"/>
    </row>
    <row r="3" spans="1:33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97" t="s">
        <v>695</v>
      </c>
      <c r="AF3" s="497"/>
      <c r="AG3" s="497"/>
    </row>
    <row r="4" spans="1:33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29"/>
      <c r="O4" s="29"/>
      <c r="P4" s="29"/>
      <c r="Q4" s="29"/>
      <c r="R4" s="29"/>
      <c r="S4" s="29"/>
      <c r="T4" s="29"/>
      <c r="U4" s="57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575" t="s">
        <v>9</v>
      </c>
      <c r="M5" s="205" t="s">
        <v>560</v>
      </c>
      <c r="N5" s="548" t="s">
        <v>447</v>
      </c>
      <c r="O5" s="494" t="s">
        <v>569</v>
      </c>
      <c r="P5" s="485" t="s">
        <v>540</v>
      </c>
      <c r="Q5" s="205" t="s">
        <v>560</v>
      </c>
      <c r="R5" s="594" t="s">
        <v>447</v>
      </c>
      <c r="S5" s="494" t="s">
        <v>569</v>
      </c>
      <c r="T5" s="485" t="s">
        <v>543</v>
      </c>
      <c r="U5" s="205" t="s">
        <v>560</v>
      </c>
      <c r="V5" s="548" t="s">
        <v>447</v>
      </c>
      <c r="W5" s="494" t="s">
        <v>569</v>
      </c>
      <c r="X5" s="485" t="s">
        <v>324</v>
      </c>
      <c r="Y5" s="528" t="s">
        <v>11</v>
      </c>
      <c r="Z5" s="529"/>
      <c r="AA5" s="529"/>
      <c r="AB5" s="529"/>
      <c r="AC5" s="530"/>
      <c r="AD5" s="478" t="s">
        <v>197</v>
      </c>
      <c r="AE5" s="479"/>
      <c r="AF5" s="479"/>
      <c r="AG5" s="480"/>
    </row>
    <row r="6" spans="1:33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576"/>
      <c r="M6" s="173" t="s">
        <v>298</v>
      </c>
      <c r="N6" s="549"/>
      <c r="O6" s="495"/>
      <c r="P6" s="486"/>
      <c r="Q6" s="173" t="s">
        <v>287</v>
      </c>
      <c r="R6" s="595"/>
      <c r="S6" s="495"/>
      <c r="T6" s="486"/>
      <c r="U6" s="173" t="s">
        <v>320</v>
      </c>
      <c r="V6" s="549"/>
      <c r="W6" s="495"/>
      <c r="X6" s="486"/>
      <c r="Y6" s="182" t="s">
        <v>198</v>
      </c>
      <c r="Z6" s="5" t="s">
        <v>199</v>
      </c>
      <c r="AA6" s="5" t="s">
        <v>200</v>
      </c>
      <c r="AB6" s="5" t="s">
        <v>201</v>
      </c>
      <c r="AC6" s="183" t="s">
        <v>20</v>
      </c>
      <c r="AD6" s="187" t="s">
        <v>202</v>
      </c>
      <c r="AE6" s="33" t="s">
        <v>203</v>
      </c>
      <c r="AF6" s="33" t="s">
        <v>204</v>
      </c>
      <c r="AG6" s="188" t="s">
        <v>205</v>
      </c>
    </row>
    <row r="7" spans="1:33" ht="132.75" customHeight="1" x14ac:dyDescent="0.25">
      <c r="A7" s="343" t="s">
        <v>219</v>
      </c>
      <c r="B7" s="345" t="s">
        <v>332</v>
      </c>
      <c r="C7" s="340" t="s">
        <v>333</v>
      </c>
      <c r="D7" s="340" t="s">
        <v>157</v>
      </c>
      <c r="E7" s="340" t="s">
        <v>575</v>
      </c>
      <c r="F7" s="342" t="s">
        <v>576</v>
      </c>
      <c r="G7" s="89" t="s">
        <v>518</v>
      </c>
      <c r="H7" s="89" t="s">
        <v>517</v>
      </c>
      <c r="I7" s="85">
        <v>0.9</v>
      </c>
      <c r="J7" s="170" t="s">
        <v>546</v>
      </c>
      <c r="K7" s="157" t="s">
        <v>497</v>
      </c>
      <c r="L7" s="349" t="s">
        <v>160</v>
      </c>
      <c r="M7" s="174"/>
      <c r="N7" s="56"/>
      <c r="O7" s="56"/>
      <c r="P7" s="175">
        <f>+M7</f>
        <v>0</v>
      </c>
      <c r="Q7" s="273" t="s">
        <v>452</v>
      </c>
      <c r="R7" s="56"/>
      <c r="S7" s="56"/>
      <c r="T7" s="175" t="str">
        <f>+Q7</f>
        <v>-</v>
      </c>
      <c r="U7" s="181"/>
      <c r="V7" s="56" t="s">
        <v>570</v>
      </c>
      <c r="W7" s="56"/>
      <c r="X7" s="203" t="str">
        <f>+IFERROR(AVERAGE(U7:W7),"-")</f>
        <v>-</v>
      </c>
      <c r="Y7" s="184" t="s">
        <v>225</v>
      </c>
      <c r="Z7" s="386">
        <f>IFERROR(IF(P7&gt;=0.9,1,(P7*100%)/0.9),"-")</f>
        <v>0</v>
      </c>
      <c r="AA7" s="26" t="str">
        <f>IFERROR((T7*100%)/$I$7,"-")</f>
        <v>-</v>
      </c>
      <c r="AB7" s="26" t="str">
        <f>IFERROR((X7*100%)/$I$7,"-")</f>
        <v>-</v>
      </c>
      <c r="AC7" s="388">
        <f>IFERROR(AVERAGE(Y7:AB7),"-")</f>
        <v>0</v>
      </c>
      <c r="AD7" s="189"/>
      <c r="AE7" s="35"/>
      <c r="AF7" s="36"/>
      <c r="AG7" s="190"/>
    </row>
    <row r="8" spans="1:33" ht="27" customHeight="1" thickBot="1" x14ac:dyDescent="0.3">
      <c r="A8" s="550" t="s">
        <v>293</v>
      </c>
      <c r="B8" s="551"/>
      <c r="C8" s="551"/>
      <c r="D8" s="551"/>
      <c r="E8" s="551"/>
      <c r="F8" s="551"/>
      <c r="G8" s="551"/>
      <c r="H8" s="551"/>
      <c r="I8" s="551"/>
      <c r="J8" s="551"/>
      <c r="K8" s="551"/>
      <c r="L8" s="551"/>
      <c r="M8" s="387" t="str">
        <f t="shared" ref="M8:AC8" si="0">IFERROR(AVERAGE(M7:M7),"-")</f>
        <v>-</v>
      </c>
      <c r="N8" s="272" t="str">
        <f t="shared" si="0"/>
        <v>-</v>
      </c>
      <c r="O8" s="92" t="str">
        <f t="shared" si="0"/>
        <v>-</v>
      </c>
      <c r="P8" s="592">
        <f t="shared" si="0"/>
        <v>0</v>
      </c>
      <c r="Q8" s="177" t="str">
        <f t="shared" si="0"/>
        <v>-</v>
      </c>
      <c r="R8" s="272" t="str">
        <f t="shared" si="0"/>
        <v>-</v>
      </c>
      <c r="S8" s="92" t="str">
        <f t="shared" si="0"/>
        <v>-</v>
      </c>
      <c r="T8" s="592" t="str">
        <f t="shared" si="0"/>
        <v>-</v>
      </c>
      <c r="U8" s="177" t="str">
        <f t="shared" si="0"/>
        <v>-</v>
      </c>
      <c r="V8" s="272" t="str">
        <f t="shared" si="0"/>
        <v>-</v>
      </c>
      <c r="W8" s="92" t="str">
        <f t="shared" si="0"/>
        <v>-</v>
      </c>
      <c r="X8" s="592" t="str">
        <f t="shared" si="0"/>
        <v>-</v>
      </c>
      <c r="Y8" s="198" t="str">
        <f t="shared" si="0"/>
        <v>-</v>
      </c>
      <c r="Z8" s="199">
        <f t="shared" si="0"/>
        <v>0</v>
      </c>
      <c r="AA8" s="199" t="str">
        <f t="shared" si="0"/>
        <v>-</v>
      </c>
      <c r="AB8" s="69" t="str">
        <f t="shared" si="0"/>
        <v>-</v>
      </c>
      <c r="AC8" s="558">
        <f t="shared" si="0"/>
        <v>0</v>
      </c>
      <c r="AD8" s="193"/>
      <c r="AE8" s="194"/>
      <c r="AF8" s="195"/>
      <c r="AG8" s="196"/>
    </row>
    <row r="9" spans="1:33" ht="27" thickBot="1" x14ac:dyDescent="0.3">
      <c r="A9" s="29"/>
      <c r="B9" s="29"/>
      <c r="C9" s="29"/>
      <c r="D9" s="29"/>
      <c r="E9" s="29"/>
      <c r="F9" s="38"/>
      <c r="G9" s="29"/>
      <c r="H9" s="29"/>
      <c r="I9" s="29"/>
      <c r="J9" s="29"/>
      <c r="K9" s="29"/>
      <c r="L9" s="29"/>
      <c r="M9" s="179"/>
      <c r="N9" s="180"/>
      <c r="O9" s="176" t="s">
        <v>321</v>
      </c>
      <c r="P9" s="593"/>
      <c r="Q9" s="274"/>
      <c r="R9" s="180"/>
      <c r="S9" s="176" t="s">
        <v>296</v>
      </c>
      <c r="T9" s="593"/>
      <c r="U9" s="197"/>
      <c r="V9" s="180"/>
      <c r="W9" s="176" t="s">
        <v>571</v>
      </c>
      <c r="X9" s="593"/>
      <c r="Y9" s="200"/>
      <c r="Z9" s="201"/>
      <c r="AA9" s="202"/>
      <c r="AB9" s="186" t="s">
        <v>294</v>
      </c>
      <c r="AC9" s="559"/>
      <c r="AD9" s="29"/>
      <c r="AE9" s="29"/>
      <c r="AF9" s="29"/>
      <c r="AG9" s="29"/>
    </row>
  </sheetData>
  <mergeCells count="35">
    <mergeCell ref="AD5:AG5"/>
    <mergeCell ref="L5:L6"/>
    <mergeCell ref="N5:N6"/>
    <mergeCell ref="O5:O6"/>
    <mergeCell ref="A4:D4"/>
    <mergeCell ref="A5:A6"/>
    <mergeCell ref="B5:B6"/>
    <mergeCell ref="C5:C6"/>
    <mergeCell ref="D5:D6"/>
    <mergeCell ref="S5:S6"/>
    <mergeCell ref="H5:H6"/>
    <mergeCell ref="P5:P6"/>
    <mergeCell ref="R5:R6"/>
    <mergeCell ref="A1:B1"/>
    <mergeCell ref="C1:AD1"/>
    <mergeCell ref="AE1:AG2"/>
    <mergeCell ref="A2:B3"/>
    <mergeCell ref="C2:AD3"/>
    <mergeCell ref="AE3:AG3"/>
    <mergeCell ref="AC8:AC9"/>
    <mergeCell ref="K5:K6"/>
    <mergeCell ref="A8:L8"/>
    <mergeCell ref="P8:P9"/>
    <mergeCell ref="T8:T9"/>
    <mergeCell ref="X8:X9"/>
    <mergeCell ref="T5:T6"/>
    <mergeCell ref="V5:V6"/>
    <mergeCell ref="W5:W6"/>
    <mergeCell ref="X5:X6"/>
    <mergeCell ref="Y5:AC5"/>
    <mergeCell ref="J5:J6"/>
    <mergeCell ref="E5:E6"/>
    <mergeCell ref="I5:I6"/>
    <mergeCell ref="F5:F6"/>
    <mergeCell ref="G5:G6"/>
  </mergeCells>
  <conditionalFormatting sqref="AC8 Y7:AC7">
    <cfRule type="cellIs" dxfId="8" priority="1" operator="lessThan">
      <formula>0.6</formula>
    </cfRule>
    <cfRule type="cellIs" dxfId="7" priority="2" operator="between">
      <formula>60%</formula>
      <formula>79%</formula>
    </cfRule>
    <cfRule type="cellIs" dxfId="6" priority="3" operator="between">
      <formula>80%</formula>
      <formula>100%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zoomScale="70" zoomScaleNormal="70" workbookViewId="0">
      <selection sqref="A1:B1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6" max="6" width="13.140625" customWidth="1"/>
    <col min="7" max="7" width="16.140625" customWidth="1"/>
    <col min="8" max="8" width="25.28515625" customWidth="1"/>
    <col min="9" max="11" width="14.42578125" customWidth="1"/>
    <col min="12" max="12" width="16.7109375" customWidth="1"/>
    <col min="13" max="13" width="25.140625" customWidth="1"/>
    <col min="14" max="14" width="45" customWidth="1"/>
    <col min="15" max="15" width="22.42578125" customWidth="1"/>
    <col min="16" max="16" width="19.42578125" customWidth="1"/>
    <col min="17" max="17" width="22.7109375" hidden="1" customWidth="1"/>
    <col min="18" max="18" width="33.140625" hidden="1" customWidth="1"/>
    <col min="19" max="19" width="22.42578125" hidden="1" customWidth="1"/>
    <col min="20" max="21" width="19.42578125" hidden="1" customWidth="1"/>
    <col min="22" max="22" width="33.140625" hidden="1" customWidth="1"/>
    <col min="23" max="24" width="22.42578125" hidden="1" customWidth="1"/>
    <col min="25" max="29" width="17.7109375" customWidth="1"/>
    <col min="30" max="33" width="26.5703125" customWidth="1"/>
  </cols>
  <sheetData>
    <row r="1" spans="1:33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96"/>
      <c r="AF1" s="496"/>
      <c r="AG1" s="496"/>
    </row>
    <row r="2" spans="1:33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96"/>
      <c r="AF2" s="496"/>
      <c r="AG2" s="496"/>
    </row>
    <row r="3" spans="1:33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97" t="s">
        <v>695</v>
      </c>
      <c r="AF3" s="497"/>
      <c r="AG3" s="497"/>
    </row>
    <row r="4" spans="1:33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57"/>
      <c r="N4" s="29"/>
      <c r="O4" s="29"/>
      <c r="P4" s="29"/>
      <c r="Q4" s="57"/>
      <c r="R4" s="29"/>
      <c r="S4" s="29"/>
      <c r="T4" s="29"/>
      <c r="U4" s="57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ht="57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172" t="s">
        <v>336</v>
      </c>
      <c r="N5" s="548" t="s">
        <v>447</v>
      </c>
      <c r="O5" s="494" t="s">
        <v>448</v>
      </c>
      <c r="P5" s="485" t="s">
        <v>540</v>
      </c>
      <c r="Q5" s="172" t="s">
        <v>336</v>
      </c>
      <c r="R5" s="548" t="s">
        <v>447</v>
      </c>
      <c r="S5" s="494" t="s">
        <v>448</v>
      </c>
      <c r="T5" s="485" t="s">
        <v>541</v>
      </c>
      <c r="U5" s="172" t="s">
        <v>336</v>
      </c>
      <c r="V5" s="548" t="s">
        <v>447</v>
      </c>
      <c r="W5" s="494" t="s">
        <v>448</v>
      </c>
      <c r="X5" s="485" t="s">
        <v>542</v>
      </c>
      <c r="Y5" s="528" t="s">
        <v>11</v>
      </c>
      <c r="Z5" s="529"/>
      <c r="AA5" s="529"/>
      <c r="AB5" s="529"/>
      <c r="AC5" s="530"/>
      <c r="AD5" s="478" t="s">
        <v>197</v>
      </c>
      <c r="AE5" s="479"/>
      <c r="AF5" s="479"/>
      <c r="AG5" s="480"/>
    </row>
    <row r="6" spans="1:33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549"/>
      <c r="O6" s="495"/>
      <c r="P6" s="486"/>
      <c r="Q6" s="173" t="s">
        <v>287</v>
      </c>
      <c r="R6" s="549"/>
      <c r="S6" s="495"/>
      <c r="T6" s="486"/>
      <c r="U6" s="173" t="s">
        <v>320</v>
      </c>
      <c r="V6" s="549"/>
      <c r="W6" s="495"/>
      <c r="X6" s="486"/>
      <c r="Y6" s="182" t="s">
        <v>198</v>
      </c>
      <c r="Z6" s="5" t="s">
        <v>199</v>
      </c>
      <c r="AA6" s="5" t="s">
        <v>200</v>
      </c>
      <c r="AB6" s="5" t="s">
        <v>201</v>
      </c>
      <c r="AC6" s="183" t="s">
        <v>20</v>
      </c>
      <c r="AD6" s="187" t="s">
        <v>202</v>
      </c>
      <c r="AE6" s="33" t="s">
        <v>203</v>
      </c>
      <c r="AF6" s="33" t="s">
        <v>204</v>
      </c>
      <c r="AG6" s="188" t="s">
        <v>205</v>
      </c>
    </row>
    <row r="7" spans="1:33" ht="141" customHeight="1" x14ac:dyDescent="0.25">
      <c r="A7" s="581" t="s">
        <v>219</v>
      </c>
      <c r="B7" s="580" t="s">
        <v>332</v>
      </c>
      <c r="C7" s="505" t="s">
        <v>333</v>
      </c>
      <c r="D7" s="505" t="s">
        <v>161</v>
      </c>
      <c r="E7" s="340" t="s">
        <v>222</v>
      </c>
      <c r="F7" s="342" t="s">
        <v>340</v>
      </c>
      <c r="G7" s="89" t="s">
        <v>520</v>
      </c>
      <c r="H7" s="89" t="s">
        <v>554</v>
      </c>
      <c r="I7" s="85">
        <v>1</v>
      </c>
      <c r="J7" s="85" t="s">
        <v>546</v>
      </c>
      <c r="K7" s="157" t="s">
        <v>497</v>
      </c>
      <c r="L7" s="347" t="s">
        <v>548</v>
      </c>
      <c r="M7" s="174"/>
      <c r="N7" s="56"/>
      <c r="O7" s="56"/>
      <c r="P7" s="175" t="str">
        <f>+IFERROR(AVERAGE(M7:M7),"-")</f>
        <v>-</v>
      </c>
      <c r="Q7" s="174"/>
      <c r="R7" s="56"/>
      <c r="S7" s="56"/>
      <c r="T7" s="175" t="str">
        <f>+IFERROR(AVERAGE(Q7:Q7),"-")</f>
        <v>-</v>
      </c>
      <c r="U7" s="181"/>
      <c r="V7" s="56"/>
      <c r="W7" s="56"/>
      <c r="X7" s="175" t="str">
        <f>+IFERROR(AVERAGE(U7:U7),"-")</f>
        <v>-</v>
      </c>
      <c r="Y7" s="184" t="s">
        <v>225</v>
      </c>
      <c r="Z7" s="26" t="str">
        <f>IFERROR((P7*100%)/$I$7,"-")</f>
        <v>-</v>
      </c>
      <c r="AA7" s="26" t="str">
        <f>IFERROR((T7*100%)/$I$7,"-")</f>
        <v>-</v>
      </c>
      <c r="AB7" s="26" t="str">
        <f>IFERROR((X7*100%)/$I$7,"-")</f>
        <v>-</v>
      </c>
      <c r="AC7" s="185" t="str">
        <f>IFERROR(AVERAGE(Y7:AB7),"-")</f>
        <v>-</v>
      </c>
      <c r="AD7" s="189"/>
      <c r="AE7" s="35"/>
      <c r="AF7" s="36"/>
      <c r="AG7" s="190"/>
    </row>
    <row r="8" spans="1:33" ht="141" customHeight="1" x14ac:dyDescent="0.25">
      <c r="A8" s="583"/>
      <c r="B8" s="584"/>
      <c r="C8" s="507"/>
      <c r="D8" s="507"/>
      <c r="E8" s="400" t="s">
        <v>341</v>
      </c>
      <c r="F8" s="401" t="s">
        <v>165</v>
      </c>
      <c r="G8" s="89" t="s">
        <v>521</v>
      </c>
      <c r="H8" s="89" t="s">
        <v>517</v>
      </c>
      <c r="I8" s="85">
        <v>1</v>
      </c>
      <c r="J8" s="85" t="s">
        <v>546</v>
      </c>
      <c r="K8" s="157" t="s">
        <v>497</v>
      </c>
      <c r="L8" s="349" t="s">
        <v>548</v>
      </c>
      <c r="M8" s="298"/>
      <c r="N8" s="299"/>
      <c r="O8" s="403"/>
      <c r="P8" s="175"/>
      <c r="Q8" s="298"/>
      <c r="R8" s="299"/>
      <c r="S8" s="403"/>
      <c r="T8" s="175"/>
      <c r="U8" s="599"/>
      <c r="V8" s="299"/>
      <c r="W8" s="403"/>
      <c r="X8" s="175"/>
      <c r="Y8" s="600"/>
      <c r="Z8" s="601"/>
      <c r="AA8" s="601"/>
      <c r="AB8" s="602"/>
      <c r="AC8" s="603"/>
      <c r="AD8" s="604"/>
      <c r="AE8" s="605"/>
      <c r="AF8" s="606"/>
      <c r="AG8" s="607"/>
    </row>
    <row r="9" spans="1:33" ht="27" customHeight="1" thickBot="1" x14ac:dyDescent="0.3">
      <c r="A9" s="501" t="s">
        <v>293</v>
      </c>
      <c r="B9" s="502"/>
      <c r="C9" s="502"/>
      <c r="D9" s="502"/>
      <c r="E9" s="502"/>
      <c r="F9" s="502"/>
      <c r="G9" s="502"/>
      <c r="H9" s="502"/>
      <c r="I9" s="502"/>
      <c r="J9" s="503"/>
      <c r="K9" s="503"/>
      <c r="L9" s="504"/>
      <c r="M9" s="177" t="str">
        <f>IFERROR(AVERAGE(M7:M7),"-")</f>
        <v>-</v>
      </c>
      <c r="N9" s="178"/>
      <c r="O9" s="142"/>
      <c r="P9" s="590" t="str">
        <f>IFERROR(AVERAGE(P7:P7),"-")</f>
        <v>-</v>
      </c>
      <c r="Q9" s="177" t="str">
        <f>IFERROR(AVERAGE(Q7:Q7),"-")</f>
        <v>-</v>
      </c>
      <c r="R9" s="178"/>
      <c r="S9" s="142"/>
      <c r="T9" s="590" t="str">
        <f>IFERROR(AVERAGE(T7:T7),"-")</f>
        <v>-</v>
      </c>
      <c r="U9" s="177" t="str">
        <f>IFERROR(AVERAGE(U7:U7),"-")</f>
        <v>-</v>
      </c>
      <c r="V9" s="178"/>
      <c r="W9" s="142"/>
      <c r="X9" s="590" t="str">
        <f t="shared" ref="X9:AC9" si="0">IFERROR(AVERAGE(X7:X7),"-")</f>
        <v>-</v>
      </c>
      <c r="Y9" s="198" t="str">
        <f t="shared" si="0"/>
        <v>-</v>
      </c>
      <c r="Z9" s="199" t="str">
        <f t="shared" si="0"/>
        <v>-</v>
      </c>
      <c r="AA9" s="199" t="str">
        <f t="shared" si="0"/>
        <v>-</v>
      </c>
      <c r="AB9" s="69" t="str">
        <f t="shared" si="0"/>
        <v>-</v>
      </c>
      <c r="AC9" s="558" t="str">
        <f t="shared" si="0"/>
        <v>-</v>
      </c>
      <c r="AD9" s="193"/>
      <c r="AE9" s="194"/>
      <c r="AF9" s="195"/>
      <c r="AG9" s="196"/>
    </row>
    <row r="10" spans="1:33" ht="27" thickBot="1" x14ac:dyDescent="0.3">
      <c r="A10" s="29"/>
      <c r="B10" s="29"/>
      <c r="C10" s="29"/>
      <c r="D10" s="29"/>
      <c r="E10" s="29"/>
      <c r="F10" s="38"/>
      <c r="G10" s="29"/>
      <c r="H10" s="29"/>
      <c r="I10" s="29"/>
      <c r="J10" s="29"/>
      <c r="K10" s="29"/>
      <c r="L10" s="29"/>
      <c r="M10" s="179"/>
      <c r="N10" s="180"/>
      <c r="O10" s="176" t="s">
        <v>539</v>
      </c>
      <c r="P10" s="591"/>
      <c r="Q10" s="197"/>
      <c r="R10" s="180"/>
      <c r="S10" s="176" t="s">
        <v>296</v>
      </c>
      <c r="T10" s="591"/>
      <c r="U10" s="197"/>
      <c r="V10" s="180"/>
      <c r="W10" s="176" t="s">
        <v>297</v>
      </c>
      <c r="X10" s="591"/>
      <c r="Y10" s="200"/>
      <c r="Z10" s="201"/>
      <c r="AA10" s="202"/>
      <c r="AB10" s="186" t="s">
        <v>294</v>
      </c>
      <c r="AC10" s="559"/>
      <c r="AD10" s="29"/>
      <c r="AE10" s="29"/>
      <c r="AF10" s="29"/>
      <c r="AG10" s="29"/>
    </row>
  </sheetData>
  <mergeCells count="39">
    <mergeCell ref="A7:A8"/>
    <mergeCell ref="B7:B8"/>
    <mergeCell ref="C7:C8"/>
    <mergeCell ref="D7:D8"/>
    <mergeCell ref="A1:B1"/>
    <mergeCell ref="C1:AD1"/>
    <mergeCell ref="AE1:AG2"/>
    <mergeCell ref="A2:B3"/>
    <mergeCell ref="C2:AD3"/>
    <mergeCell ref="AE3:AG3"/>
    <mergeCell ref="Y5:AC5"/>
    <mergeCell ref="AD5:AG5"/>
    <mergeCell ref="W5:W6"/>
    <mergeCell ref="L5:L6"/>
    <mergeCell ref="A4: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C9:AC10"/>
    <mergeCell ref="A9:L9"/>
    <mergeCell ref="P9:P10"/>
    <mergeCell ref="T9:T10"/>
    <mergeCell ref="X9:X10"/>
    <mergeCell ref="X5:X6"/>
    <mergeCell ref="P5:P6"/>
    <mergeCell ref="T5:T6"/>
    <mergeCell ref="N5:N6"/>
    <mergeCell ref="O5:O6"/>
    <mergeCell ref="R5:R6"/>
    <mergeCell ref="S5:S6"/>
    <mergeCell ref="V5:V6"/>
  </mergeCells>
  <conditionalFormatting sqref="AC9 Y7:AC8">
    <cfRule type="cellIs" dxfId="5" priority="1" operator="lessThan">
      <formula>0.6</formula>
    </cfRule>
    <cfRule type="cellIs" dxfId="4" priority="2" operator="between">
      <formula>60%</formula>
      <formula>79%</formula>
    </cfRule>
    <cfRule type="cellIs" dxfId="3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opLeftCell="L7" zoomScale="70" zoomScaleNormal="70" workbookViewId="0">
      <selection activeCell="Q4" sqref="Q1:X1048576"/>
    </sheetView>
  </sheetViews>
  <sheetFormatPr baseColWidth="10" defaultRowHeight="15" x14ac:dyDescent="0.25"/>
  <cols>
    <col min="1" max="1" width="21.42578125" customWidth="1"/>
    <col min="2" max="2" width="29.140625" customWidth="1"/>
    <col min="3" max="3" width="38.7109375" customWidth="1"/>
    <col min="4" max="4" width="31" customWidth="1"/>
    <col min="5" max="5" width="20.7109375" customWidth="1"/>
    <col min="7" max="7" width="25.5703125" customWidth="1"/>
    <col min="8" max="8" width="25.28515625" customWidth="1"/>
    <col min="9" max="11" width="14.42578125" customWidth="1"/>
    <col min="12" max="12" width="13.7109375" customWidth="1"/>
    <col min="13" max="13" width="19.85546875" customWidth="1"/>
    <col min="14" max="14" width="45.5703125" customWidth="1"/>
    <col min="15" max="15" width="37.140625" customWidth="1"/>
    <col min="16" max="16" width="25" customWidth="1"/>
    <col min="17" max="17" width="19.42578125" hidden="1" customWidth="1"/>
    <col min="18" max="18" width="31.7109375" hidden="1" customWidth="1"/>
    <col min="19" max="19" width="42.140625" hidden="1" customWidth="1"/>
    <col min="20" max="20" width="25" hidden="1" customWidth="1"/>
    <col min="21" max="21" width="19.42578125" hidden="1" customWidth="1"/>
    <col min="22" max="22" width="36" hidden="1" customWidth="1"/>
    <col min="23" max="24" width="25" hidden="1" customWidth="1"/>
    <col min="25" max="29" width="17.7109375" customWidth="1"/>
    <col min="30" max="33" width="26.5703125" customWidth="1"/>
  </cols>
  <sheetData>
    <row r="1" spans="1:33" ht="75.75" customHeight="1" x14ac:dyDescent="0.25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96"/>
      <c r="AF1" s="496"/>
      <c r="AG1" s="496"/>
    </row>
    <row r="2" spans="1:33" ht="41.25" customHeight="1" x14ac:dyDescent="0.25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96"/>
      <c r="AF2" s="496"/>
      <c r="AG2" s="496"/>
    </row>
    <row r="3" spans="1:33" ht="41.25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97" t="s">
        <v>695</v>
      </c>
      <c r="AF3" s="497"/>
      <c r="AG3" s="497"/>
    </row>
    <row r="4" spans="1:33" ht="15.75" thickBot="1" x14ac:dyDescent="0.3">
      <c r="A4" s="481" t="s">
        <v>193</v>
      </c>
      <c r="B4" s="481"/>
      <c r="C4" s="481"/>
      <c r="D4" s="481"/>
      <c r="E4" s="29"/>
      <c r="F4" s="38"/>
      <c r="G4" s="29"/>
      <c r="H4" s="29"/>
      <c r="I4" s="29"/>
      <c r="J4" s="29"/>
      <c r="K4" s="29"/>
      <c r="L4" s="29"/>
      <c r="M4" s="29"/>
      <c r="N4" s="29"/>
      <c r="O4" s="29"/>
      <c r="P4" s="29"/>
      <c r="Q4" s="57"/>
      <c r="R4" s="29"/>
      <c r="S4" s="29"/>
      <c r="T4" s="29"/>
      <c r="U4" s="57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ht="74.25" customHeight="1" x14ac:dyDescent="0.25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211" t="s">
        <v>449</v>
      </c>
      <c r="N5" s="548" t="s">
        <v>447</v>
      </c>
      <c r="O5" s="494" t="s">
        <v>448</v>
      </c>
      <c r="P5" s="485" t="s">
        <v>540</v>
      </c>
      <c r="Q5" s="211" t="s">
        <v>449</v>
      </c>
      <c r="R5" s="548" t="s">
        <v>447</v>
      </c>
      <c r="S5" s="494" t="s">
        <v>448</v>
      </c>
      <c r="T5" s="485" t="s">
        <v>543</v>
      </c>
      <c r="U5" s="211" t="s">
        <v>449</v>
      </c>
      <c r="V5" s="548" t="s">
        <v>447</v>
      </c>
      <c r="W5" s="494" t="s">
        <v>448</v>
      </c>
      <c r="X5" s="485" t="s">
        <v>544</v>
      </c>
      <c r="Y5" s="528" t="s">
        <v>11</v>
      </c>
      <c r="Z5" s="529"/>
      <c r="AA5" s="529"/>
      <c r="AB5" s="529"/>
      <c r="AC5" s="530"/>
      <c r="AD5" s="478" t="s">
        <v>197</v>
      </c>
      <c r="AE5" s="479"/>
      <c r="AF5" s="479"/>
      <c r="AG5" s="480"/>
    </row>
    <row r="6" spans="1:33" ht="57" customHeight="1" x14ac:dyDescent="0.25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549"/>
      <c r="O6" s="495"/>
      <c r="P6" s="486"/>
      <c r="Q6" s="173" t="s">
        <v>287</v>
      </c>
      <c r="R6" s="549"/>
      <c r="S6" s="495"/>
      <c r="T6" s="486"/>
      <c r="U6" s="173" t="s">
        <v>320</v>
      </c>
      <c r="V6" s="549"/>
      <c r="W6" s="495"/>
      <c r="X6" s="486"/>
      <c r="Y6" s="182" t="s">
        <v>198</v>
      </c>
      <c r="Z6" s="5" t="s">
        <v>199</v>
      </c>
      <c r="AA6" s="5" t="s">
        <v>200</v>
      </c>
      <c r="AB6" s="5" t="s">
        <v>201</v>
      </c>
      <c r="AC6" s="183" t="s">
        <v>20</v>
      </c>
      <c r="AD6" s="187" t="s">
        <v>202</v>
      </c>
      <c r="AE6" s="33" t="s">
        <v>203</v>
      </c>
      <c r="AF6" s="33" t="s">
        <v>204</v>
      </c>
      <c r="AG6" s="188" t="s">
        <v>205</v>
      </c>
    </row>
    <row r="7" spans="1:33" ht="96" customHeight="1" x14ac:dyDescent="0.25">
      <c r="A7" s="589" t="s">
        <v>167</v>
      </c>
      <c r="B7" s="580" t="s">
        <v>342</v>
      </c>
      <c r="C7" s="580" t="s">
        <v>343</v>
      </c>
      <c r="D7" s="580" t="s">
        <v>344</v>
      </c>
      <c r="E7" s="580" t="s">
        <v>345</v>
      </c>
      <c r="F7" s="608">
        <v>0.5</v>
      </c>
      <c r="G7" s="227" t="s">
        <v>445</v>
      </c>
      <c r="H7" s="170" t="s">
        <v>346</v>
      </c>
      <c r="I7" s="145">
        <v>0.6</v>
      </c>
      <c r="J7" s="226" t="s">
        <v>549</v>
      </c>
      <c r="K7" s="376" t="s">
        <v>779</v>
      </c>
      <c r="L7" s="596" t="s">
        <v>174</v>
      </c>
      <c r="M7" s="287"/>
      <c r="N7" s="170"/>
      <c r="O7" s="124"/>
      <c r="P7" s="212">
        <f>+M7</f>
        <v>0</v>
      </c>
      <c r="Q7" s="609"/>
      <c r="R7" s="170"/>
      <c r="S7" s="124"/>
      <c r="T7" s="212">
        <f>+Q7</f>
        <v>0</v>
      </c>
      <c r="U7" s="610"/>
      <c r="V7" s="170"/>
      <c r="W7" s="124"/>
      <c r="X7" s="212">
        <f>+U7</f>
        <v>0</v>
      </c>
      <c r="Y7" s="184" t="s">
        <v>225</v>
      </c>
      <c r="Z7" s="26">
        <f>IFERROR(IF(P7&gt;=0.6,1,(P7*100%)/0.6),"-")</f>
        <v>0</v>
      </c>
      <c r="AA7" s="26">
        <f>IFERROR(IF(T7&gt;=0.6,1,(T7*100%)/0.6),"-")</f>
        <v>0</v>
      </c>
      <c r="AB7" s="26">
        <f>IFERROR(IF(X7&gt;=0.6,1,(X7*100%)/0.6),"-")</f>
        <v>0</v>
      </c>
      <c r="AC7" s="185">
        <f>IFERROR(AVERAGE(Y7:AB7),"-")</f>
        <v>0</v>
      </c>
      <c r="AD7" s="189"/>
      <c r="AE7" s="35"/>
      <c r="AF7" s="36"/>
      <c r="AG7" s="190"/>
    </row>
    <row r="8" spans="1:33" ht="78.75" customHeight="1" x14ac:dyDescent="0.25">
      <c r="A8" s="573"/>
      <c r="B8" s="506"/>
      <c r="C8" s="556"/>
      <c r="D8" s="556"/>
      <c r="E8" s="556"/>
      <c r="F8" s="611"/>
      <c r="G8" s="170" t="s">
        <v>450</v>
      </c>
      <c r="H8" s="170" t="s">
        <v>444</v>
      </c>
      <c r="I8" s="145" t="s">
        <v>141</v>
      </c>
      <c r="J8" s="226" t="s">
        <v>549</v>
      </c>
      <c r="K8" s="376" t="s">
        <v>779</v>
      </c>
      <c r="L8" s="566"/>
      <c r="M8" s="218"/>
      <c r="N8" s="170"/>
      <c r="O8" s="124"/>
      <c r="P8" s="212">
        <f>+M8</f>
        <v>0</v>
      </c>
      <c r="Q8" s="174"/>
      <c r="R8" s="170"/>
      <c r="S8" s="124"/>
      <c r="T8" s="212">
        <f>+Q8</f>
        <v>0</v>
      </c>
      <c r="U8" s="174"/>
      <c r="V8" s="170"/>
      <c r="W8" s="124"/>
      <c r="X8" s="212">
        <f>+U8</f>
        <v>0</v>
      </c>
      <c r="Y8" s="184" t="s">
        <v>225</v>
      </c>
      <c r="Z8" s="26" t="str">
        <f>IFERROR((P8*100%)/I8,"-")</f>
        <v>-</v>
      </c>
      <c r="AA8" s="26">
        <f>IFERROR(IF(T8&gt;=0.9,1,(T8*100%)/0.9),"-")</f>
        <v>0</v>
      </c>
      <c r="AB8" s="26">
        <f>IFERROR(IF(X8&gt;=0.9,1,(X8*100%)/0.9),"-")</f>
        <v>0</v>
      </c>
      <c r="AC8" s="185">
        <f>IFERROR(AVERAGE(Y8:AB8),"-")</f>
        <v>0</v>
      </c>
      <c r="AD8" s="191"/>
      <c r="AE8" s="30"/>
      <c r="AF8" s="28"/>
      <c r="AG8" s="192"/>
    </row>
    <row r="9" spans="1:33" ht="116.25" customHeight="1" x14ac:dyDescent="0.25">
      <c r="A9" s="573"/>
      <c r="B9" s="506"/>
      <c r="C9" s="556"/>
      <c r="D9" s="556"/>
      <c r="E9" s="556"/>
      <c r="F9" s="612">
        <v>0.3</v>
      </c>
      <c r="G9" s="170" t="s">
        <v>348</v>
      </c>
      <c r="H9" s="170" t="s">
        <v>347</v>
      </c>
      <c r="I9" s="145">
        <v>0.3</v>
      </c>
      <c r="J9" s="226" t="s">
        <v>547</v>
      </c>
      <c r="K9" s="376" t="s">
        <v>780</v>
      </c>
      <c r="L9" s="566"/>
      <c r="M9" s="218"/>
      <c r="N9" s="170"/>
      <c r="O9" s="124"/>
      <c r="P9" s="212">
        <f>+M9</f>
        <v>0</v>
      </c>
      <c r="Q9" s="174"/>
      <c r="R9" s="170"/>
      <c r="S9" s="124"/>
      <c r="T9" s="212">
        <f>+Q9</f>
        <v>0</v>
      </c>
      <c r="U9" s="174"/>
      <c r="V9" s="170"/>
      <c r="W9" s="124"/>
      <c r="X9" s="212">
        <f>+U9</f>
        <v>0</v>
      </c>
      <c r="Y9" s="184" t="s">
        <v>225</v>
      </c>
      <c r="Z9" s="26">
        <f>IFERROR((P9*100%)/I9,"-")</f>
        <v>0</v>
      </c>
      <c r="AA9" s="26">
        <f>IFERROR((T9*100%)/I9,"-")</f>
        <v>0</v>
      </c>
      <c r="AB9" s="26">
        <f>IFERROR(IF(X9&gt;=0.3,1,(X9*100%)/0.3),"-")</f>
        <v>0</v>
      </c>
      <c r="AC9" s="185"/>
      <c r="AD9" s="191"/>
      <c r="AE9" s="30"/>
      <c r="AF9" s="28"/>
      <c r="AG9" s="220"/>
    </row>
    <row r="10" spans="1:33" ht="64.5" customHeight="1" x14ac:dyDescent="0.25">
      <c r="A10" s="573"/>
      <c r="B10" s="506"/>
      <c r="C10" s="556"/>
      <c r="D10" s="556"/>
      <c r="E10" s="556"/>
      <c r="F10" s="612" t="s">
        <v>781</v>
      </c>
      <c r="G10" s="170" t="s">
        <v>350</v>
      </c>
      <c r="H10" s="170" t="s">
        <v>349</v>
      </c>
      <c r="I10" s="94">
        <v>1</v>
      </c>
      <c r="J10" s="228" t="s">
        <v>547</v>
      </c>
      <c r="K10" s="613" t="s">
        <v>782</v>
      </c>
      <c r="L10" s="566"/>
      <c r="M10" s="218"/>
      <c r="N10" s="91"/>
      <c r="O10" s="614"/>
      <c r="P10" s="212">
        <f>+M10</f>
        <v>0</v>
      </c>
      <c r="Q10" s="174"/>
      <c r="R10" s="170"/>
      <c r="S10" s="124"/>
      <c r="T10" s="212">
        <f>+Q10</f>
        <v>0</v>
      </c>
      <c r="U10" s="181"/>
      <c r="V10" s="170"/>
      <c r="W10" s="124"/>
      <c r="X10" s="615">
        <f>+U10</f>
        <v>0</v>
      </c>
      <c r="Y10" s="184" t="s">
        <v>225</v>
      </c>
      <c r="Z10" s="26">
        <f>IFERROR((P10*100%)/I10,"-")</f>
        <v>0</v>
      </c>
      <c r="AA10" s="26">
        <f>IFERROR((T10*100%)/I10,"-")</f>
        <v>0</v>
      </c>
      <c r="AB10" s="26">
        <f>IFERROR((X10*100%)/I10,"-")</f>
        <v>0</v>
      </c>
      <c r="AC10" s="185"/>
      <c r="AD10" s="191"/>
      <c r="AE10" s="30"/>
      <c r="AF10" s="28"/>
      <c r="AG10" s="220"/>
    </row>
    <row r="11" spans="1:33" ht="57.75" customHeight="1" x14ac:dyDescent="0.25">
      <c r="A11" s="573"/>
      <c r="B11" s="506"/>
      <c r="C11" s="556"/>
      <c r="D11" s="556"/>
      <c r="E11" s="556"/>
      <c r="F11" s="612" t="s">
        <v>783</v>
      </c>
      <c r="G11" s="170" t="s">
        <v>351</v>
      </c>
      <c r="H11" s="170" t="s">
        <v>352</v>
      </c>
      <c r="I11" s="94">
        <v>1</v>
      </c>
      <c r="J11" s="228" t="s">
        <v>547</v>
      </c>
      <c r="K11" s="613" t="s">
        <v>784</v>
      </c>
      <c r="L11" s="597"/>
      <c r="M11" s="218"/>
      <c r="N11" s="91"/>
      <c r="O11" s="616"/>
      <c r="P11" s="212">
        <f>+M11</f>
        <v>0</v>
      </c>
      <c r="Q11" s="174"/>
      <c r="R11" s="170"/>
      <c r="S11" s="124"/>
      <c r="T11" s="212">
        <f>+Q11</f>
        <v>0</v>
      </c>
      <c r="U11" s="181"/>
      <c r="V11" s="170"/>
      <c r="W11" s="124"/>
      <c r="X11" s="615">
        <f>+U11</f>
        <v>0</v>
      </c>
      <c r="Y11" s="184" t="s">
        <v>225</v>
      </c>
      <c r="Z11" s="26">
        <f>IFERROR((P11*100%)/I11,"-")</f>
        <v>0</v>
      </c>
      <c r="AA11" s="26">
        <f>IFERROR((T11*100%)/I11,"-")</f>
        <v>0</v>
      </c>
      <c r="AB11" s="26">
        <f>IFERROR((X11*100%)/I11,"-")</f>
        <v>0</v>
      </c>
      <c r="AC11" s="185">
        <f>IFERROR(AVERAGE(Y11:AB11),"-")</f>
        <v>0</v>
      </c>
      <c r="AD11" s="191"/>
      <c r="AE11" s="30"/>
      <c r="AF11" s="28"/>
      <c r="AG11" s="220"/>
    </row>
    <row r="12" spans="1:33" ht="26.25" customHeight="1" thickBot="1" x14ac:dyDescent="0.3">
      <c r="A12" s="550" t="s">
        <v>293</v>
      </c>
      <c r="B12" s="551"/>
      <c r="C12" s="551"/>
      <c r="D12" s="551"/>
      <c r="E12" s="551"/>
      <c r="F12" s="551"/>
      <c r="G12" s="551"/>
      <c r="H12" s="551"/>
      <c r="I12" s="551"/>
      <c r="J12" s="551"/>
      <c r="K12" s="551"/>
      <c r="L12" s="552"/>
      <c r="M12" s="617" t="str">
        <f>+IFERROR(AVERAGE(M7:M11),"-")</f>
        <v>-</v>
      </c>
      <c r="N12" s="219"/>
      <c r="O12" s="402"/>
      <c r="P12" s="618">
        <f>IFERROR(AVERAGE(P7:P11),"-")</f>
        <v>0</v>
      </c>
      <c r="Q12" s="217" t="str">
        <f ca="1">+IFERROR(PR+OMEDIO(Q7:Q11),"-")</f>
        <v>-</v>
      </c>
      <c r="R12" s="219"/>
      <c r="S12" s="402"/>
      <c r="T12" s="567">
        <f>IFERROR(AVERAGE(T7:T11),"-")</f>
        <v>0</v>
      </c>
      <c r="U12" s="217" t="str">
        <f ca="1">+IFERROR(PR+OMEDIO(U7:U11),"-")</f>
        <v>-</v>
      </c>
      <c r="V12" s="219"/>
      <c r="W12" s="402"/>
      <c r="X12" s="567">
        <f t="shared" ref="X12:AC12" si="0">IFERROR(AVERAGE(X7:X11),"-")</f>
        <v>0</v>
      </c>
      <c r="Y12" s="198" t="str">
        <f t="shared" si="0"/>
        <v>-</v>
      </c>
      <c r="Z12" s="199">
        <f t="shared" si="0"/>
        <v>0</v>
      </c>
      <c r="AA12" s="199">
        <f t="shared" si="0"/>
        <v>0</v>
      </c>
      <c r="AB12" s="69">
        <f t="shared" si="0"/>
        <v>0</v>
      </c>
      <c r="AC12" s="577">
        <f t="shared" si="0"/>
        <v>0</v>
      </c>
      <c r="AD12" s="193"/>
      <c r="AE12" s="194"/>
      <c r="AF12" s="195"/>
      <c r="AG12" s="196"/>
    </row>
    <row r="13" spans="1:33" ht="27" thickBot="1" x14ac:dyDescent="0.3">
      <c r="A13" s="29"/>
      <c r="B13" s="29"/>
      <c r="C13" s="29"/>
      <c r="D13" s="29"/>
      <c r="E13" s="29"/>
      <c r="F13" s="38"/>
      <c r="G13" s="29"/>
      <c r="H13" s="29"/>
      <c r="I13" s="29"/>
      <c r="J13" s="29"/>
      <c r="K13" s="29"/>
      <c r="L13" s="146"/>
      <c r="M13" s="208"/>
      <c r="N13" s="207"/>
      <c r="O13" s="214" t="s">
        <v>451</v>
      </c>
      <c r="P13" s="619"/>
      <c r="Q13" s="206"/>
      <c r="R13" s="207"/>
      <c r="S13" s="214" t="s">
        <v>453</v>
      </c>
      <c r="T13" s="568"/>
      <c r="U13" s="206"/>
      <c r="V13" s="207"/>
      <c r="W13" s="214" t="s">
        <v>454</v>
      </c>
      <c r="X13" s="568"/>
      <c r="Y13" s="200"/>
      <c r="Z13" s="201"/>
      <c r="AA13" s="202"/>
      <c r="AB13" s="186" t="s">
        <v>294</v>
      </c>
      <c r="AC13" s="578"/>
      <c r="AD13" s="29"/>
      <c r="AE13" s="29"/>
      <c r="AF13" s="29"/>
      <c r="AG13" s="29"/>
    </row>
    <row r="15" spans="1:33" ht="45" x14ac:dyDescent="0.25">
      <c r="G15" s="620" t="s">
        <v>641</v>
      </c>
      <c r="H15" s="621"/>
      <c r="I15" s="621"/>
      <c r="J15" s="622"/>
      <c r="K15" s="314" t="s">
        <v>638</v>
      </c>
      <c r="L15" s="333" t="s">
        <v>639</v>
      </c>
      <c r="M15" s="316" t="s">
        <v>643</v>
      </c>
      <c r="N15" s="316" t="s">
        <v>644</v>
      </c>
      <c r="O15" s="317" t="s">
        <v>642</v>
      </c>
      <c r="P15" s="623"/>
      <c r="Q15" s="316" t="s">
        <v>643</v>
      </c>
      <c r="R15" s="316" t="s">
        <v>785</v>
      </c>
      <c r="S15" s="316" t="s">
        <v>644</v>
      </c>
      <c r="T15" s="317" t="s">
        <v>642</v>
      </c>
      <c r="U15" s="316" t="s">
        <v>643</v>
      </c>
      <c r="V15" s="316" t="s">
        <v>785</v>
      </c>
      <c r="W15" s="316" t="s">
        <v>786</v>
      </c>
      <c r="X15" s="316" t="s">
        <v>644</v>
      </c>
      <c r="Y15" s="317" t="s">
        <v>642</v>
      </c>
      <c r="AB15" s="624"/>
    </row>
    <row r="16" spans="1:33" x14ac:dyDescent="0.25">
      <c r="G16" s="521" t="s">
        <v>445</v>
      </c>
      <c r="H16" s="522"/>
      <c r="I16" s="522"/>
      <c r="J16" s="523"/>
      <c r="K16" s="319">
        <v>0.6</v>
      </c>
      <c r="L16" s="319">
        <v>0.15</v>
      </c>
      <c r="M16" s="319">
        <f>+P7</f>
        <v>0</v>
      </c>
      <c r="N16" s="319">
        <f>IFERROR(IF(M16&gt;=0.6,1,(M16*100%)/0.6),"-")</f>
        <v>0</v>
      </c>
      <c r="O16" s="355">
        <f>IFERROR(+IF(N16=100%,L16,(+N16*L16)),"-")</f>
        <v>0</v>
      </c>
      <c r="P16" s="625"/>
      <c r="Q16" s="319">
        <f>+T7</f>
        <v>0</v>
      </c>
      <c r="R16" s="319">
        <f>+M16</f>
        <v>0</v>
      </c>
      <c r="S16" s="319">
        <f>IFERROR(IF(AVERAGE(Q16,R16)&gt;=0.6,1,(AVERAGE(Q16,R16)*100%)/0.6),"-")</f>
        <v>0</v>
      </c>
      <c r="T16" s="355">
        <f>IFERROR(+IF(S16=100%,L16,(+S16*L16)),"-")</f>
        <v>0</v>
      </c>
      <c r="U16" s="319">
        <f>+X7</f>
        <v>0</v>
      </c>
      <c r="V16" s="319">
        <f>+M16</f>
        <v>0</v>
      </c>
      <c r="W16" s="319">
        <f>+Q16</f>
        <v>0</v>
      </c>
      <c r="X16" s="319">
        <f>IFERROR(IF(AVERAGE(U16,V16,W16)&gt;=0.6,1,(AVERAGE(U16,V16,W16)*100%)/0.6),"-")</f>
        <v>0</v>
      </c>
      <c r="Y16" s="355">
        <f>IFERROR(+IF(X16=100%,L16,(+X16*L16)),"-")</f>
        <v>0</v>
      </c>
      <c r="AB16" s="626"/>
    </row>
    <row r="17" spans="7:28" x14ac:dyDescent="0.25">
      <c r="G17" s="521" t="s">
        <v>693</v>
      </c>
      <c r="H17" s="522"/>
      <c r="I17" s="522"/>
      <c r="J17" s="523"/>
      <c r="K17" s="319" t="s">
        <v>141</v>
      </c>
      <c r="L17" s="319">
        <v>0.15</v>
      </c>
      <c r="M17" s="319">
        <v>0</v>
      </c>
      <c r="N17" s="319">
        <f>IFERROR(IF(M17&gt;=0.9,1,(M17*100%)/0.9),"-")</f>
        <v>0</v>
      </c>
      <c r="O17" s="355">
        <f>+IFERROR(IF(N17=100%,L17,(+N17*L17)),"-")</f>
        <v>0</v>
      </c>
      <c r="P17" s="625"/>
      <c r="Q17" s="319">
        <f>+T8</f>
        <v>0</v>
      </c>
      <c r="R17" s="319">
        <f>+M17</f>
        <v>0</v>
      </c>
      <c r="S17" s="319">
        <f>IFERROR(IF(AVERAGE(Q17,R17)&gt;=0.6,1,(AVERAGE(Q17,R17)*100%)/0.6),"-")</f>
        <v>0</v>
      </c>
      <c r="T17" s="355">
        <f>IFERROR(+IF(S17=100%,L17,(+S17*L17)),"-")</f>
        <v>0</v>
      </c>
      <c r="U17" s="319">
        <f>+X8</f>
        <v>0</v>
      </c>
      <c r="V17" s="319">
        <f>+M17</f>
        <v>0</v>
      </c>
      <c r="W17" s="319">
        <f>+Q17</f>
        <v>0</v>
      </c>
      <c r="X17" s="319">
        <f>IFERROR(IF(AVERAGE(U17,V17,W17)&gt;=0.6,1,(AVERAGE(U17,V17,W17)*100%)/0.6),"-")</f>
        <v>0</v>
      </c>
      <c r="Y17" s="355">
        <f>IFERROR(+IF(X17=100%,L17,(+X17*L17)),"-")</f>
        <v>0</v>
      </c>
      <c r="AB17" s="627"/>
    </row>
    <row r="18" spans="7:28" x14ac:dyDescent="0.25">
      <c r="G18" s="521" t="s">
        <v>348</v>
      </c>
      <c r="H18" s="522"/>
      <c r="I18" s="522"/>
      <c r="J18" s="523"/>
      <c r="K18" s="319" t="s">
        <v>141</v>
      </c>
      <c r="L18" s="319">
        <v>0.2</v>
      </c>
      <c r="M18" s="319">
        <v>0</v>
      </c>
      <c r="N18" s="319">
        <f>IFERROR(IF(M18&gt;=0.9,1,(M18*100%)/0.9),"-")</f>
        <v>0</v>
      </c>
      <c r="O18" s="355">
        <f>+IFERROR(IF(N18=100%,L18,(+N18*L18)),"-")</f>
        <v>0</v>
      </c>
      <c r="P18" s="625"/>
      <c r="Q18" s="319">
        <f>+T9</f>
        <v>0</v>
      </c>
      <c r="R18" s="319">
        <f>+M18</f>
        <v>0</v>
      </c>
      <c r="S18" s="319">
        <f>IFERROR(IF(AVERAGE(Q18,R18)&gt;=0.6,1,(AVERAGE(Q18,R18)*100%)/0.6),"-")</f>
        <v>0</v>
      </c>
      <c r="T18" s="355">
        <f>IFERROR(+IF(S18=100%,L18,(+S18*L18)),"-")</f>
        <v>0</v>
      </c>
      <c r="U18" s="319">
        <f>+X9</f>
        <v>0</v>
      </c>
      <c r="V18" s="319"/>
      <c r="W18" s="319"/>
      <c r="X18" s="319">
        <f>IFERROR(IF(AVERAGE(U18:V18:W18)&gt;=0.6,1,(AVERAGE(U18:V18:W18)*100%)/0.6),"-")</f>
        <v>0</v>
      </c>
      <c r="Y18" s="355">
        <f>IFERROR(+IF(X18=100%,L18,(+X18*L18)),"-")</f>
        <v>0</v>
      </c>
      <c r="AB18" s="627"/>
    </row>
    <row r="19" spans="7:28" ht="21" x14ac:dyDescent="0.35">
      <c r="L19" s="354">
        <f>SUM(L16:L18)</f>
        <v>0.5</v>
      </c>
      <c r="O19" s="628">
        <f>IFERROR(SUM(O16:O18),"-")</f>
        <v>0</v>
      </c>
      <c r="P19" s="629"/>
      <c r="T19" s="628">
        <f>IFERROR(SUM(T16:T18),"-")</f>
        <v>0</v>
      </c>
      <c r="Y19" s="628">
        <f>IFERROR(SUM(Y16:Y18),"-")</f>
        <v>0</v>
      </c>
    </row>
    <row r="20" spans="7:28" x14ac:dyDescent="0.25">
      <c r="V20" s="127"/>
    </row>
    <row r="21" spans="7:28" x14ac:dyDescent="0.25">
      <c r="V21" s="127"/>
    </row>
    <row r="22" spans="7:28" x14ac:dyDescent="0.25">
      <c r="V22" s="127"/>
    </row>
  </sheetData>
  <mergeCells count="47">
    <mergeCell ref="G15:J15"/>
    <mergeCell ref="G16:J16"/>
    <mergeCell ref="AB16:AB18"/>
    <mergeCell ref="G17:J17"/>
    <mergeCell ref="G18:J18"/>
    <mergeCell ref="L7:L11"/>
    <mergeCell ref="A12:L12"/>
    <mergeCell ref="P12:P13"/>
    <mergeCell ref="T12:T13"/>
    <mergeCell ref="X12:X13"/>
    <mergeCell ref="AC12:AC13"/>
    <mergeCell ref="A7:A11"/>
    <mergeCell ref="B7:B11"/>
    <mergeCell ref="C7:C11"/>
    <mergeCell ref="D7:D11"/>
    <mergeCell ref="E7:E11"/>
    <mergeCell ref="F7:F8"/>
    <mergeCell ref="T5:T6"/>
    <mergeCell ref="V5:V6"/>
    <mergeCell ref="W5:W6"/>
    <mergeCell ref="X5:X6"/>
    <mergeCell ref="Y5:AC5"/>
    <mergeCell ref="AD5:AG5"/>
    <mergeCell ref="L5:L6"/>
    <mergeCell ref="N5:N6"/>
    <mergeCell ref="O5:O6"/>
    <mergeCell ref="P5:P6"/>
    <mergeCell ref="R5:R6"/>
    <mergeCell ref="S5:S6"/>
    <mergeCell ref="F5:F6"/>
    <mergeCell ref="G5:G6"/>
    <mergeCell ref="H5:H6"/>
    <mergeCell ref="I5:I6"/>
    <mergeCell ref="J5:J6"/>
    <mergeCell ref="K5:K6"/>
    <mergeCell ref="A4:D4"/>
    <mergeCell ref="A5:A6"/>
    <mergeCell ref="B5:B6"/>
    <mergeCell ref="C5:C6"/>
    <mergeCell ref="D5:D6"/>
    <mergeCell ref="E5:E6"/>
    <mergeCell ref="A1:B1"/>
    <mergeCell ref="C1:AD1"/>
    <mergeCell ref="AE1:AG2"/>
    <mergeCell ref="A2:B3"/>
    <mergeCell ref="C2:AD3"/>
    <mergeCell ref="AE3:AG3"/>
  </mergeCells>
  <conditionalFormatting sqref="AC12 Y7:AC11">
    <cfRule type="cellIs" dxfId="2" priority="1" operator="lessThan">
      <formula>0.6</formula>
    </cfRule>
    <cfRule type="cellIs" dxfId="1" priority="2" operator="between">
      <formula>60%</formula>
      <formula>79%</formula>
    </cfRule>
    <cfRule type="cellIs" dxfId="0" priority="3" operator="between">
      <formula>80%</formula>
      <formula>100%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R29"/>
  <sheetViews>
    <sheetView topLeftCell="A8" zoomScale="70" zoomScaleNormal="70" workbookViewId="0">
      <selection activeCell="J17" sqref="J17"/>
    </sheetView>
  </sheetViews>
  <sheetFormatPr baseColWidth="10" defaultRowHeight="12.75" x14ac:dyDescent="0.2"/>
  <cols>
    <col min="1" max="1" width="37.5703125" style="2" customWidth="1"/>
    <col min="2" max="2" width="34.28515625" style="2" customWidth="1"/>
    <col min="3" max="3" width="35.140625" style="2" customWidth="1"/>
    <col min="4" max="4" width="31.85546875" style="3" customWidth="1"/>
    <col min="5" max="5" width="14.42578125" style="3" customWidth="1"/>
    <col min="6" max="6" width="25.5703125" style="3" hidden="1" customWidth="1"/>
    <col min="7" max="7" width="26.28515625" style="3" hidden="1" customWidth="1"/>
    <col min="8" max="8" width="16.140625" style="3" hidden="1" customWidth="1"/>
    <col min="9" max="9" width="19.42578125" style="2" customWidth="1"/>
    <col min="10" max="10" width="24.42578125" style="2" customWidth="1"/>
    <col min="11" max="11" width="19.140625" style="2" customWidth="1"/>
    <col min="12" max="12" width="20" style="2" hidden="1" customWidth="1"/>
    <col min="13" max="13" width="19.28515625" style="2" hidden="1" customWidth="1"/>
    <col min="14" max="14" width="0.28515625" style="2" hidden="1" customWidth="1"/>
    <col min="15" max="15" width="17.85546875" style="2" hidden="1" customWidth="1"/>
    <col min="16" max="16" width="19.140625" style="2" hidden="1" customWidth="1"/>
    <col min="17" max="17" width="18.7109375" style="2" hidden="1" customWidth="1"/>
    <col min="18" max="18" width="21" style="2" hidden="1" customWidth="1"/>
    <col min="19" max="19" width="11.42578125" style="2"/>
    <col min="20" max="20" width="11.42578125" style="2" customWidth="1"/>
    <col min="21" max="16384" width="11.42578125" style="2"/>
  </cols>
  <sheetData>
    <row r="1" spans="1:18" ht="53.25" customHeight="1" x14ac:dyDescent="0.2">
      <c r="A1" s="1"/>
      <c r="B1" s="410" t="s">
        <v>0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</row>
    <row r="2" spans="1:18" ht="21" customHeight="1" x14ac:dyDescent="0.2">
      <c r="A2" s="412"/>
      <c r="B2" s="414" t="s">
        <v>191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</row>
    <row r="3" spans="1:18" ht="16.5" customHeight="1" thickBot="1" x14ac:dyDescent="0.25">
      <c r="A3" s="413"/>
      <c r="B3" s="416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</row>
    <row r="4" spans="1:18" ht="9.75" customHeight="1" x14ac:dyDescent="0.25">
      <c r="A4" s="418"/>
      <c r="B4" s="418"/>
      <c r="C4" s="418"/>
    </row>
    <row r="5" spans="1:18" ht="57" customHeight="1" x14ac:dyDescent="0.2">
      <c r="A5" s="422" t="s">
        <v>1</v>
      </c>
      <c r="B5" s="422" t="s">
        <v>2</v>
      </c>
      <c r="C5" s="422" t="s">
        <v>196</v>
      </c>
      <c r="D5" s="422" t="s">
        <v>4</v>
      </c>
      <c r="E5" s="422" t="s">
        <v>5</v>
      </c>
      <c r="F5" s="422" t="s">
        <v>6</v>
      </c>
      <c r="G5" s="422" t="s">
        <v>7</v>
      </c>
      <c r="H5" s="422" t="s">
        <v>8</v>
      </c>
      <c r="I5" s="422" t="s">
        <v>9</v>
      </c>
      <c r="J5" s="445" t="s">
        <v>10</v>
      </c>
      <c r="K5" s="445"/>
      <c r="L5" s="445"/>
      <c r="M5" s="445"/>
      <c r="N5" s="419" t="s">
        <v>11</v>
      </c>
      <c r="O5" s="420"/>
      <c r="P5" s="420"/>
      <c r="Q5" s="420"/>
      <c r="R5" s="421"/>
    </row>
    <row r="6" spans="1:18" ht="63" customHeight="1" x14ac:dyDescent="0.2">
      <c r="A6" s="423"/>
      <c r="B6" s="423"/>
      <c r="C6" s="423"/>
      <c r="D6" s="423"/>
      <c r="E6" s="423"/>
      <c r="F6" s="423"/>
      <c r="G6" s="423"/>
      <c r="H6" s="423"/>
      <c r="I6" s="423"/>
      <c r="J6" s="4" t="s">
        <v>667</v>
      </c>
      <c r="K6" s="4" t="s">
        <v>618</v>
      </c>
      <c r="L6" s="4" t="s">
        <v>665</v>
      </c>
      <c r="M6" s="4" t="s">
        <v>666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18" ht="90.75" customHeight="1" x14ac:dyDescent="0.2">
      <c r="A7" s="47" t="s">
        <v>21</v>
      </c>
      <c r="B7" s="47" t="s">
        <v>22</v>
      </c>
      <c r="C7" s="47" t="s">
        <v>23</v>
      </c>
      <c r="D7" s="48" t="s">
        <v>24</v>
      </c>
      <c r="E7" s="49">
        <v>0.4</v>
      </c>
      <c r="F7" s="6" t="s">
        <v>435</v>
      </c>
      <c r="G7" s="6" t="s">
        <v>304</v>
      </c>
      <c r="H7" s="77">
        <v>0.4</v>
      </c>
      <c r="I7" s="48" t="s">
        <v>27</v>
      </c>
      <c r="J7" s="85" t="str">
        <f>+'Programa Humanizacion'!Q15</f>
        <v>-</v>
      </c>
      <c r="K7" s="85" t="str">
        <f>+IFERROR('Programa Humanizacion'!V12,"-")</f>
        <v>-</v>
      </c>
      <c r="L7" s="85" t="str">
        <f>+IFERROR('Programa Humanizacion'!AF12,"-")</f>
        <v>-</v>
      </c>
      <c r="M7" s="85" t="str">
        <f>+IFERROR('Programa Humanizacion'!AP12,"-")</f>
        <v>-</v>
      </c>
      <c r="N7" s="39" t="str">
        <f>IFERROR((J7*100%)/E7,"-")</f>
        <v>-</v>
      </c>
      <c r="O7" s="39" t="str">
        <f>IFERROR((K7*100%)/E7,"-")</f>
        <v>-</v>
      </c>
      <c r="P7" s="39" t="str">
        <f>IFERROR((L7*100%)/E7,"-")</f>
        <v>-</v>
      </c>
      <c r="Q7" s="39" t="str">
        <f>IFERROR((M7*100%)/E7,"-")</f>
        <v>-</v>
      </c>
      <c r="R7" s="39" t="str">
        <f>IFERROR(AVERAGE(N7:Q7),"-")</f>
        <v>-</v>
      </c>
    </row>
    <row r="8" spans="1:18" ht="81" customHeight="1" x14ac:dyDescent="0.2">
      <c r="A8" s="76" t="s">
        <v>34</v>
      </c>
      <c r="B8" s="76" t="s">
        <v>35</v>
      </c>
      <c r="C8" s="76" t="s">
        <v>36</v>
      </c>
      <c r="D8" s="76" t="s">
        <v>37</v>
      </c>
      <c r="E8" s="77">
        <v>0.35</v>
      </c>
      <c r="F8" s="6" t="s">
        <v>38</v>
      </c>
      <c r="G8" s="6" t="s">
        <v>372</v>
      </c>
      <c r="H8" s="6">
        <v>0.35</v>
      </c>
      <c r="I8" s="76" t="s">
        <v>299</v>
      </c>
      <c r="J8" s="85" t="str">
        <f>+IFERROR('Modelo Atención'!O11:O18,"-")</f>
        <v>-</v>
      </c>
      <c r="K8" s="7" t="str">
        <f>+'Modelo Atención'!AX8:AX9</f>
        <v>-</v>
      </c>
      <c r="L8" s="7" t="str">
        <f>+IFERROR('Modelo Atención'!AH8,"-")</f>
        <v>-</v>
      </c>
      <c r="M8" s="7" t="str">
        <f>+IFERROR('Modelo Atención'!AS8,"-")</f>
        <v>-</v>
      </c>
      <c r="N8" s="39" t="str">
        <f t="shared" ref="N8:N17" si="0">IFERROR((J8*100%)/H8,"-")</f>
        <v>-</v>
      </c>
      <c r="O8" s="39" t="str">
        <f t="shared" ref="O8:O16" si="1">IFERROR((K8*100%)/H8,"-")</f>
        <v>-</v>
      </c>
      <c r="P8" s="39" t="str">
        <f t="shared" ref="P8:P16" si="2">IFERROR((L8*100%)/H8,"-")</f>
        <v>-</v>
      </c>
      <c r="Q8" s="39" t="str">
        <f t="shared" ref="Q8:Q14" si="3">IFERROR((M8*100%)/H8,"-")</f>
        <v>-</v>
      </c>
      <c r="R8" s="39" t="str">
        <f t="shared" ref="R8:R28" si="4">IFERROR(AVERAGE(N8:Q8),"-")</f>
        <v>-</v>
      </c>
    </row>
    <row r="9" spans="1:18" ht="56.25" customHeight="1" x14ac:dyDescent="0.2">
      <c r="A9" s="429" t="s">
        <v>48</v>
      </c>
      <c r="B9" s="424" t="s">
        <v>49</v>
      </c>
      <c r="C9" s="424" t="s">
        <v>50</v>
      </c>
      <c r="D9" s="11" t="s">
        <v>51</v>
      </c>
      <c r="E9" s="11" t="s">
        <v>52</v>
      </c>
      <c r="F9" s="11"/>
      <c r="G9" s="11" t="s">
        <v>308</v>
      </c>
      <c r="H9" s="6" t="s">
        <v>318</v>
      </c>
      <c r="I9" s="11" t="s">
        <v>434</v>
      </c>
      <c r="J9" s="85" t="str">
        <f>+Acreditación!W7</f>
        <v>-</v>
      </c>
      <c r="K9" s="356" t="str">
        <f>+Acreditación!W9</f>
        <v>-</v>
      </c>
      <c r="L9" s="85" t="s">
        <v>225</v>
      </c>
      <c r="M9" s="10" t="str">
        <f>+IFERROR(Acreditación!AS9,"-")</f>
        <v>-</v>
      </c>
      <c r="N9" s="39" t="str">
        <f t="shared" si="0"/>
        <v>-</v>
      </c>
      <c r="O9" s="39" t="str">
        <f t="shared" si="1"/>
        <v>-</v>
      </c>
      <c r="P9" s="39" t="str">
        <f t="shared" si="2"/>
        <v>-</v>
      </c>
      <c r="Q9" s="39">
        <f>+IFERROR(IF(M9&gt;=1.11,100%,0)*AND(IF(M9&lt;=1.19,100%,0)),"-")</f>
        <v>0</v>
      </c>
      <c r="R9" s="39">
        <f t="shared" si="4"/>
        <v>0</v>
      </c>
    </row>
    <row r="10" spans="1:18" ht="51.75" customHeight="1" x14ac:dyDescent="0.2">
      <c r="A10" s="431"/>
      <c r="B10" s="426"/>
      <c r="C10" s="426"/>
      <c r="D10" s="11" t="s">
        <v>53</v>
      </c>
      <c r="E10" s="6">
        <v>0.65</v>
      </c>
      <c r="F10" s="11"/>
      <c r="G10" s="11"/>
      <c r="H10" s="6"/>
      <c r="I10" s="11" t="s">
        <v>54</v>
      </c>
      <c r="J10" s="85" t="str">
        <f>+IFERROR('Seguridad Paciente'!R16,"-")</f>
        <v>-</v>
      </c>
      <c r="K10" s="7" t="str">
        <f>+'Seguridad Paciente'!AX11</f>
        <v>-</v>
      </c>
      <c r="L10" s="7" t="str">
        <f>+IFERROR('Seguridad Paciente'!AJ11,"-")</f>
        <v>-</v>
      </c>
      <c r="M10" s="10" t="str">
        <f>+IFERROR('Seguridad Paciente'!AS11,"-")</f>
        <v>-</v>
      </c>
      <c r="N10" s="39" t="str">
        <f t="shared" si="0"/>
        <v>-</v>
      </c>
      <c r="O10" s="39" t="str">
        <f t="shared" si="1"/>
        <v>-</v>
      </c>
      <c r="P10" s="39" t="str">
        <f t="shared" si="2"/>
        <v>-</v>
      </c>
      <c r="Q10" s="39" t="str">
        <f t="shared" si="3"/>
        <v>-</v>
      </c>
      <c r="R10" s="39" t="str">
        <f t="shared" si="4"/>
        <v>-</v>
      </c>
    </row>
    <row r="11" spans="1:18" ht="51" x14ac:dyDescent="0.2">
      <c r="A11" s="76" t="s">
        <v>55</v>
      </c>
      <c r="B11" s="76" t="s">
        <v>56</v>
      </c>
      <c r="C11" s="76" t="s">
        <v>57</v>
      </c>
      <c r="D11" s="76" t="s">
        <v>58</v>
      </c>
      <c r="E11" s="77">
        <v>0.4</v>
      </c>
      <c r="F11" s="6" t="s">
        <v>303</v>
      </c>
      <c r="G11" s="6" t="s">
        <v>373</v>
      </c>
      <c r="H11" s="6">
        <v>0.4</v>
      </c>
      <c r="I11" s="76" t="s">
        <v>299</v>
      </c>
      <c r="J11" s="85">
        <f>+'Alta Complejidad'!P30</f>
        <v>0</v>
      </c>
      <c r="K11" s="10" t="str">
        <f>+'Alta Complejidad'!BF8</f>
        <v>-</v>
      </c>
      <c r="L11" s="10" t="str">
        <f>IFERROR(+'Alta Complejidad'!AP8,"-")</f>
        <v>-</v>
      </c>
      <c r="M11" s="10" t="str">
        <f>+IFERROR('Alta Complejidad'!BA8,"-")</f>
        <v>-</v>
      </c>
      <c r="N11" s="39">
        <f t="shared" si="0"/>
        <v>0</v>
      </c>
      <c r="O11" s="39" t="str">
        <f t="shared" si="1"/>
        <v>-</v>
      </c>
      <c r="P11" s="39" t="str">
        <f t="shared" si="2"/>
        <v>-</v>
      </c>
      <c r="Q11" s="39" t="str">
        <f t="shared" si="3"/>
        <v>-</v>
      </c>
      <c r="R11" s="39">
        <f t="shared" si="4"/>
        <v>0</v>
      </c>
    </row>
    <row r="12" spans="1:18" ht="66.75" customHeight="1" x14ac:dyDescent="0.2">
      <c r="A12" s="429" t="s">
        <v>76</v>
      </c>
      <c r="B12" s="429" t="s">
        <v>77</v>
      </c>
      <c r="C12" s="12" t="s">
        <v>78</v>
      </c>
      <c r="D12" s="11" t="s">
        <v>79</v>
      </c>
      <c r="E12" s="6">
        <v>0.85</v>
      </c>
      <c r="F12" s="11" t="s">
        <v>80</v>
      </c>
      <c r="G12" s="305" t="s">
        <v>619</v>
      </c>
      <c r="H12" s="6">
        <v>1</v>
      </c>
      <c r="I12" s="11" t="s">
        <v>81</v>
      </c>
      <c r="J12" s="85" t="str">
        <f>+PEGIF!V28</f>
        <v>-</v>
      </c>
      <c r="K12" s="7" t="str">
        <f>+PEGIF!AS29</f>
        <v>-</v>
      </c>
      <c r="L12" s="13" t="str">
        <f>+PEGIF!AE29</f>
        <v>-</v>
      </c>
      <c r="M12" s="10" t="str">
        <f>+PEGIF!AN29</f>
        <v>-</v>
      </c>
      <c r="N12" s="39" t="str">
        <f t="shared" si="0"/>
        <v>-</v>
      </c>
      <c r="O12" s="39" t="str">
        <f t="shared" si="1"/>
        <v>-</v>
      </c>
      <c r="P12" s="39" t="str">
        <f t="shared" si="2"/>
        <v>-</v>
      </c>
      <c r="Q12" s="39" t="str">
        <f t="shared" si="3"/>
        <v>-</v>
      </c>
      <c r="R12" s="39" t="str">
        <f t="shared" si="4"/>
        <v>-</v>
      </c>
    </row>
    <row r="13" spans="1:18" ht="53.25" customHeight="1" x14ac:dyDescent="0.2">
      <c r="A13" s="430"/>
      <c r="B13" s="430"/>
      <c r="C13" s="12" t="s">
        <v>82</v>
      </c>
      <c r="D13" s="11" t="s">
        <v>83</v>
      </c>
      <c r="E13" s="6">
        <v>0.75</v>
      </c>
      <c r="F13" s="11" t="s">
        <v>84</v>
      </c>
      <c r="G13" s="11" t="s">
        <v>39</v>
      </c>
      <c r="H13" s="6">
        <v>0.75</v>
      </c>
      <c r="I13" s="11" t="s">
        <v>81</v>
      </c>
      <c r="J13" s="85" t="str">
        <f>+Costos!P11</f>
        <v>-</v>
      </c>
      <c r="K13" s="7" t="str">
        <f>+Costos!AC12</f>
        <v>-</v>
      </c>
      <c r="L13" s="13" t="str">
        <f>+Costos!T12</f>
        <v>-</v>
      </c>
      <c r="M13" s="10" t="str">
        <f>+Costos!X12</f>
        <v>-</v>
      </c>
      <c r="N13" s="39" t="str">
        <f t="shared" si="0"/>
        <v>-</v>
      </c>
      <c r="O13" s="39" t="str">
        <f t="shared" si="1"/>
        <v>-</v>
      </c>
      <c r="P13" s="39" t="str">
        <f t="shared" si="2"/>
        <v>-</v>
      </c>
      <c r="Q13" s="39" t="str">
        <f t="shared" si="3"/>
        <v>-</v>
      </c>
      <c r="R13" s="39" t="str">
        <f t="shared" si="4"/>
        <v>-</v>
      </c>
    </row>
    <row r="14" spans="1:18" ht="75" customHeight="1" x14ac:dyDescent="0.2">
      <c r="A14" s="430"/>
      <c r="B14" s="430"/>
      <c r="C14" s="81" t="s">
        <v>85</v>
      </c>
      <c r="D14" s="81" t="s">
        <v>86</v>
      </c>
      <c r="E14" s="82">
        <v>0.4</v>
      </c>
      <c r="F14" s="11" t="s">
        <v>86</v>
      </c>
      <c r="G14" s="11" t="s">
        <v>370</v>
      </c>
      <c r="H14" s="6">
        <v>0.4</v>
      </c>
      <c r="I14" s="81" t="s">
        <v>89</v>
      </c>
      <c r="J14" s="85">
        <f>IFERROR(+'Prevención Daño Ant'!N18,"-")</f>
        <v>0</v>
      </c>
      <c r="K14" s="7" t="str">
        <f>+'Prevención Daño Ant'!AG10</f>
        <v>-</v>
      </c>
      <c r="L14" s="7" t="str">
        <f>+IFERROR('Prevención Daño Ant'!V10,"-")</f>
        <v>-</v>
      </c>
      <c r="M14" s="10" t="str">
        <f>+IFERROR('Prevención Daño Ant'!AB10,"-")</f>
        <v>-</v>
      </c>
      <c r="N14" s="39">
        <f t="shared" si="0"/>
        <v>0</v>
      </c>
      <c r="O14" s="39" t="str">
        <f t="shared" si="1"/>
        <v>-</v>
      </c>
      <c r="P14" s="39" t="str">
        <f t="shared" si="2"/>
        <v>-</v>
      </c>
      <c r="Q14" s="39" t="str">
        <f t="shared" si="3"/>
        <v>-</v>
      </c>
      <c r="R14" s="39">
        <f t="shared" si="4"/>
        <v>0</v>
      </c>
    </row>
    <row r="15" spans="1:18" ht="39" customHeight="1" x14ac:dyDescent="0.2">
      <c r="A15" s="431"/>
      <c r="B15" s="431"/>
      <c r="C15" s="12" t="s">
        <v>94</v>
      </c>
      <c r="D15" s="11" t="s">
        <v>95</v>
      </c>
      <c r="E15" s="6" t="s">
        <v>96</v>
      </c>
      <c r="F15" s="15" t="s">
        <v>97</v>
      </c>
      <c r="G15" s="15" t="s">
        <v>98</v>
      </c>
      <c r="H15" s="56">
        <v>0.72299999999999998</v>
      </c>
      <c r="I15" s="11" t="s">
        <v>99</v>
      </c>
      <c r="J15" s="85" t="str">
        <f>+MIPG!W8</f>
        <v>-</v>
      </c>
      <c r="K15" s="7" t="str">
        <f>+MIPG!AX8</f>
        <v>-</v>
      </c>
      <c r="L15" s="7" t="str">
        <f>+MIPG!AH8</f>
        <v>-</v>
      </c>
      <c r="M15" s="56" t="str">
        <f>+MIPG!AS8</f>
        <v>-</v>
      </c>
      <c r="N15" s="39" t="str">
        <f t="shared" si="0"/>
        <v>-</v>
      </c>
      <c r="O15" s="39" t="str">
        <f t="shared" si="1"/>
        <v>-</v>
      </c>
      <c r="P15" s="39" t="str">
        <f t="shared" si="2"/>
        <v>-</v>
      </c>
      <c r="Q15" s="39">
        <f>IF(M15&gt;H15,1,"-")</f>
        <v>1</v>
      </c>
      <c r="R15" s="39">
        <f t="shared" si="4"/>
        <v>1</v>
      </c>
    </row>
    <row r="16" spans="1:18" ht="100.5" customHeight="1" x14ac:dyDescent="0.2">
      <c r="A16" s="429" t="s">
        <v>101</v>
      </c>
      <c r="B16" s="429" t="s">
        <v>102</v>
      </c>
      <c r="C16" s="79" t="s">
        <v>103</v>
      </c>
      <c r="D16" s="81" t="s">
        <v>104</v>
      </c>
      <c r="E16" s="82">
        <v>0.6</v>
      </c>
      <c r="F16" s="11" t="s">
        <v>369</v>
      </c>
      <c r="G16" s="11" t="s">
        <v>370</v>
      </c>
      <c r="H16" s="6">
        <v>0.6</v>
      </c>
      <c r="I16" s="81" t="s">
        <v>107</v>
      </c>
      <c r="J16" s="7">
        <f>+'Integración SI'!P17</f>
        <v>0</v>
      </c>
      <c r="K16" s="7" t="str">
        <f>IFERROR(+'Integración SI'!AL10,"-")</f>
        <v>-</v>
      </c>
      <c r="L16" s="7" t="str">
        <f>+IFERROR('Integración SI'!Z10,"-")</f>
        <v>-</v>
      </c>
      <c r="M16" s="7" t="str">
        <f>+IFERROR('Integración SI'!AG10,"-")</f>
        <v>-</v>
      </c>
      <c r="N16" s="39">
        <f t="shared" si="0"/>
        <v>0</v>
      </c>
      <c r="O16" s="39" t="str">
        <f t="shared" si="1"/>
        <v>-</v>
      </c>
      <c r="P16" s="39" t="str">
        <f t="shared" si="2"/>
        <v>-</v>
      </c>
      <c r="Q16" s="39" t="str">
        <f>IFERROR((M16*100%)/H16,"-")</f>
        <v>-</v>
      </c>
      <c r="R16" s="39">
        <f t="shared" si="4"/>
        <v>0</v>
      </c>
    </row>
    <row r="17" spans="1:18" ht="66.75" customHeight="1" x14ac:dyDescent="0.2">
      <c r="A17" s="430"/>
      <c r="B17" s="430"/>
      <c r="C17" s="79" t="s">
        <v>113</v>
      </c>
      <c r="D17" s="81" t="s">
        <v>114</v>
      </c>
      <c r="E17" s="82">
        <v>0.3</v>
      </c>
      <c r="F17" s="11" t="s">
        <v>392</v>
      </c>
      <c r="G17" s="11" t="s">
        <v>370</v>
      </c>
      <c r="H17" s="6">
        <v>0.3</v>
      </c>
      <c r="I17" s="81" t="s">
        <v>117</v>
      </c>
      <c r="J17" s="7">
        <f>+'Construcción-Adecuación'!P20</f>
        <v>0</v>
      </c>
      <c r="K17" s="7" t="str">
        <f>+IFERROR('Construcción-Adecuación'!P12:P13,"-")</f>
        <v>-</v>
      </c>
      <c r="L17" s="7" t="str">
        <f>+IFERROR('Construcción-Adecuación'!T12,"-")</f>
        <v>-</v>
      </c>
      <c r="M17" s="7" t="str">
        <f>+IFERROR('Construcción-Adecuación'!X12,"-")</f>
        <v>-</v>
      </c>
      <c r="N17" s="39">
        <f t="shared" si="0"/>
        <v>0</v>
      </c>
      <c r="O17" s="39" t="str">
        <f>IFERROR((K17*100%)/H17,"-")</f>
        <v>-</v>
      </c>
      <c r="P17" s="39" t="str">
        <f>IFERROR((L17*100%)/H17,"-")</f>
        <v>-</v>
      </c>
      <c r="Q17" s="39" t="str">
        <f>IFERROR((M17*100%)/H17,"-")</f>
        <v>-</v>
      </c>
      <c r="R17" s="39">
        <f t="shared" si="4"/>
        <v>0</v>
      </c>
    </row>
    <row r="18" spans="1:18" ht="72" customHeight="1" x14ac:dyDescent="0.2">
      <c r="A18" s="430"/>
      <c r="B18" s="430"/>
      <c r="C18" s="80" t="s">
        <v>124</v>
      </c>
      <c r="D18" s="81" t="s">
        <v>125</v>
      </c>
      <c r="E18" s="82">
        <v>0.6</v>
      </c>
      <c r="F18" s="11" t="s">
        <v>431</v>
      </c>
      <c r="G18" s="11" t="s">
        <v>370</v>
      </c>
      <c r="H18" s="6">
        <v>0.6</v>
      </c>
      <c r="I18" s="81" t="s">
        <v>129</v>
      </c>
      <c r="J18" s="7">
        <f>+'Gestión Tecnología'!P17</f>
        <v>0</v>
      </c>
      <c r="K18" s="7" t="str">
        <f>+IFERROR('Gestión Tecnología'!S10:S11,"-")</f>
        <v>-</v>
      </c>
      <c r="L18" s="7" t="str">
        <f>+IFERROR('Gestión Tecnología'!Z10,"-")</f>
        <v>-</v>
      </c>
      <c r="M18" s="7" t="str">
        <f>+IFERROR('Gestión Tecnología'!AG10,"-")</f>
        <v>-</v>
      </c>
      <c r="N18" s="39" t="str">
        <f>IFERROR(IF((J18*100%)=50%,1,"-"),"-")</f>
        <v>-</v>
      </c>
      <c r="O18" s="39" t="str">
        <f>IFERROR(IF((K18*100%)=50%,1,"-"),"-")</f>
        <v>-</v>
      </c>
      <c r="P18" s="39" t="str">
        <f>IFERROR(IF((L18*100%)=50%,1,"-"),"-")</f>
        <v>-</v>
      </c>
      <c r="Q18" s="39" t="str">
        <f>IFERROR(IF((M18*100%)=50%,1,"-"),"-")</f>
        <v>-</v>
      </c>
      <c r="R18" s="39" t="str">
        <f>IFERROR(AVERAGE(N18:Q18),"-")</f>
        <v>-</v>
      </c>
    </row>
    <row r="19" spans="1:18" ht="78.75" customHeight="1" x14ac:dyDescent="0.2">
      <c r="A19" s="79" t="s">
        <v>135</v>
      </c>
      <c r="B19" s="80" t="s">
        <v>136</v>
      </c>
      <c r="C19" s="80" t="s">
        <v>137</v>
      </c>
      <c r="D19" s="81" t="s">
        <v>138</v>
      </c>
      <c r="E19" s="82">
        <v>0.4</v>
      </c>
      <c r="F19" s="19" t="s">
        <v>139</v>
      </c>
      <c r="G19" s="6" t="s">
        <v>140</v>
      </c>
      <c r="H19" s="6" t="s">
        <v>141</v>
      </c>
      <c r="I19" s="82" t="s">
        <v>142</v>
      </c>
      <c r="J19" s="7">
        <f>+PEGITH!P22</f>
        <v>0</v>
      </c>
      <c r="K19" s="7" t="str">
        <f>+PEGITH!W16</f>
        <v>-</v>
      </c>
      <c r="L19" s="7" t="str">
        <f>+PEGITH!AK16</f>
        <v>-</v>
      </c>
      <c r="M19" s="7" t="str">
        <f>+PEGITH!AY16</f>
        <v>-</v>
      </c>
      <c r="N19" s="39" t="str">
        <f>IFERROR(IF((J19*100%)&gt;=90%,1,"-"),"-")</f>
        <v>-</v>
      </c>
      <c r="O19" s="39" t="str">
        <f>IFERROR(IF((K19*100%)&gt;=90%,1,"-"),"-")</f>
        <v>-</v>
      </c>
      <c r="P19" s="39" t="str">
        <f>IFERROR(IF((L19*100%)&gt;=90%,1,"-"),"-")</f>
        <v>-</v>
      </c>
      <c r="Q19" s="39" t="str">
        <f>IFERROR(IF((M19*100%)&gt;=90%,1,"-"),"-")</f>
        <v>-</v>
      </c>
      <c r="R19" s="39" t="str">
        <f t="shared" si="4"/>
        <v>-</v>
      </c>
    </row>
    <row r="20" spans="1:18" ht="58.5" customHeight="1" x14ac:dyDescent="0.2">
      <c r="A20" s="429" t="s">
        <v>145</v>
      </c>
      <c r="B20" s="435" t="s">
        <v>146</v>
      </c>
      <c r="C20" s="20" t="s">
        <v>147</v>
      </c>
      <c r="D20" s="11" t="s">
        <v>148</v>
      </c>
      <c r="E20" s="6" t="s">
        <v>149</v>
      </c>
      <c r="F20" s="19" t="s">
        <v>150</v>
      </c>
      <c r="G20" s="19" t="s">
        <v>150</v>
      </c>
      <c r="H20" s="21">
        <v>1</v>
      </c>
      <c r="I20" s="6" t="s">
        <v>151</v>
      </c>
      <c r="J20" s="7"/>
      <c r="K20" s="389">
        <f>+IFERROR('ISO 140012015'!P8,"-")</f>
        <v>0</v>
      </c>
      <c r="L20" s="7" t="str">
        <f>+IFERROR('ISO 140012015'!T8,"-")</f>
        <v>-</v>
      </c>
      <c r="M20" s="22" t="str">
        <f>+'ISO 140012015'!X8</f>
        <v>-</v>
      </c>
      <c r="N20" s="39">
        <f>IFERROR((J20*100%)/H20,"-")</f>
        <v>0</v>
      </c>
      <c r="O20" s="39">
        <f>IFERROR((K20*100%)/H20,"-")</f>
        <v>0</v>
      </c>
      <c r="P20" s="39" t="str">
        <f>IFERROR((L20*100%)/H20,"-")</f>
        <v>-</v>
      </c>
      <c r="Q20" s="39" t="str">
        <f>IF(M20=1,1,"-")</f>
        <v>-</v>
      </c>
      <c r="R20" s="39">
        <f t="shared" si="4"/>
        <v>0</v>
      </c>
    </row>
    <row r="21" spans="1:18" ht="39" customHeight="1" x14ac:dyDescent="0.2">
      <c r="A21" s="430"/>
      <c r="B21" s="436"/>
      <c r="C21" s="20" t="s">
        <v>152</v>
      </c>
      <c r="D21" s="11" t="s">
        <v>153</v>
      </c>
      <c r="E21" s="6" t="s">
        <v>154</v>
      </c>
      <c r="F21" s="19" t="s">
        <v>155</v>
      </c>
      <c r="G21" s="19" t="s">
        <v>155</v>
      </c>
      <c r="H21" s="21">
        <v>1</v>
      </c>
      <c r="I21" s="6" t="s">
        <v>156</v>
      </c>
      <c r="J21" s="7"/>
      <c r="K21" s="7">
        <f>+IFERROR('ISO 450012018'!P8,"-")</f>
        <v>0</v>
      </c>
      <c r="L21" s="7" t="str">
        <f>+'ISO 450012018'!T8</f>
        <v>-</v>
      </c>
      <c r="M21" s="22" t="str">
        <f>+'ISO 450012018'!X8</f>
        <v>-</v>
      </c>
      <c r="N21" s="39">
        <f t="shared" ref="N21:N28" si="5">IFERROR((J21*100%)/H21,"-")</f>
        <v>0</v>
      </c>
      <c r="O21" s="39">
        <f>IFERROR((K21*100%)/H21,"-")</f>
        <v>0</v>
      </c>
      <c r="P21" s="39" t="str">
        <f>IFERROR((L21*100%)/H21,"-")</f>
        <v>-</v>
      </c>
      <c r="Q21" s="39" t="str">
        <f>IF(M21=1,1,"-")</f>
        <v>-</v>
      </c>
      <c r="R21" s="39">
        <f t="shared" si="4"/>
        <v>0</v>
      </c>
    </row>
    <row r="22" spans="1:18" ht="39" customHeight="1" x14ac:dyDescent="0.2">
      <c r="A22" s="430"/>
      <c r="B22" s="436"/>
      <c r="C22" s="20" t="s">
        <v>157</v>
      </c>
      <c r="D22" s="11" t="s">
        <v>158</v>
      </c>
      <c r="E22" s="6" t="s">
        <v>100</v>
      </c>
      <c r="F22" s="19" t="s">
        <v>159</v>
      </c>
      <c r="G22" s="19" t="s">
        <v>159</v>
      </c>
      <c r="H22" s="21">
        <v>1</v>
      </c>
      <c r="I22" s="6" t="s">
        <v>160</v>
      </c>
      <c r="J22" s="7"/>
      <c r="K22" s="389">
        <f>+IFERROR('ISO 90012015'!P8,"-")</f>
        <v>0</v>
      </c>
      <c r="L22" s="7" t="str">
        <f>+'ISO 90012015'!T8</f>
        <v>-</v>
      </c>
      <c r="M22" s="22" t="str">
        <f>+'ISO 90012015'!X8</f>
        <v>-</v>
      </c>
      <c r="N22" s="39">
        <f t="shared" si="5"/>
        <v>0</v>
      </c>
      <c r="O22" s="39">
        <f>IFERROR((K22*100%)/H22,"-")</f>
        <v>0</v>
      </c>
      <c r="P22" s="39" t="str">
        <f>IFERROR((L22*100%)/H22,"-")</f>
        <v>-</v>
      </c>
      <c r="Q22" s="39" t="str">
        <f>IF(M22=1,1,"-")</f>
        <v>-</v>
      </c>
      <c r="R22" s="39">
        <f t="shared" si="4"/>
        <v>0</v>
      </c>
    </row>
    <row r="23" spans="1:18" ht="39" customHeight="1" x14ac:dyDescent="0.2">
      <c r="A23" s="430"/>
      <c r="B23" s="436"/>
      <c r="C23" s="435" t="s">
        <v>161</v>
      </c>
      <c r="D23" s="11" t="s">
        <v>162</v>
      </c>
      <c r="E23" s="6" t="s">
        <v>154</v>
      </c>
      <c r="F23" s="19" t="s">
        <v>163</v>
      </c>
      <c r="G23" s="19" t="s">
        <v>163</v>
      </c>
      <c r="H23" s="21">
        <v>1</v>
      </c>
      <c r="I23" s="432" t="s">
        <v>646</v>
      </c>
      <c r="J23" s="7"/>
      <c r="K23" s="7" t="str">
        <f>+BPE!P9</f>
        <v>-</v>
      </c>
      <c r="L23" s="7" t="str">
        <f>+BPE!T9</f>
        <v>-</v>
      </c>
      <c r="M23" s="22" t="str">
        <f>+BPE!X9</f>
        <v>-</v>
      </c>
      <c r="N23" s="39">
        <f t="shared" si="5"/>
        <v>0</v>
      </c>
      <c r="O23" s="39" t="str">
        <f>IFERROR((K23*100%)/H23,"-")</f>
        <v>-</v>
      </c>
      <c r="P23" s="39" t="str">
        <f>IFERROR((L23*100%)/H23,"-")</f>
        <v>-</v>
      </c>
      <c r="Q23" s="39" t="str">
        <f>IF(M23=1,1,"-")</f>
        <v>-</v>
      </c>
      <c r="R23" s="39">
        <f t="shared" si="4"/>
        <v>0</v>
      </c>
    </row>
    <row r="24" spans="1:18" ht="39" customHeight="1" x14ac:dyDescent="0.2">
      <c r="A24" s="431"/>
      <c r="B24" s="437"/>
      <c r="C24" s="437"/>
      <c r="D24" s="11" t="s">
        <v>165</v>
      </c>
      <c r="E24" s="6" t="s">
        <v>149</v>
      </c>
      <c r="F24" s="19" t="s">
        <v>166</v>
      </c>
      <c r="G24" s="19" t="s">
        <v>166</v>
      </c>
      <c r="H24" s="21">
        <v>1</v>
      </c>
      <c r="I24" s="434"/>
      <c r="J24" s="7"/>
      <c r="K24" s="7" t="e">
        <f>+#REF!</f>
        <v>#REF!</v>
      </c>
      <c r="L24" s="7" t="e">
        <f>+#REF!</f>
        <v>#REF!</v>
      </c>
      <c r="M24" s="22" t="e">
        <f>+#REF!</f>
        <v>#REF!</v>
      </c>
      <c r="N24" s="39">
        <f t="shared" si="5"/>
        <v>0</v>
      </c>
      <c r="O24" s="39" t="str">
        <f>IFERROR((K24*100%)/H24,"-")</f>
        <v>-</v>
      </c>
      <c r="P24" s="39" t="str">
        <f>IFERROR((L24*100%)/H24,"-")</f>
        <v>-</v>
      </c>
      <c r="Q24" s="39" t="e">
        <f>IF(M24=1,1,"-")</f>
        <v>#REF!</v>
      </c>
      <c r="R24" s="39" t="str">
        <f t="shared" si="4"/>
        <v>-</v>
      </c>
    </row>
    <row r="25" spans="1:18" ht="84" customHeight="1" x14ac:dyDescent="0.2">
      <c r="A25" s="429" t="s">
        <v>167</v>
      </c>
      <c r="B25" s="435" t="s">
        <v>168</v>
      </c>
      <c r="C25" s="80" t="s">
        <v>169</v>
      </c>
      <c r="D25" s="81" t="s">
        <v>170</v>
      </c>
      <c r="E25" s="82">
        <v>0.5</v>
      </c>
      <c r="F25" s="11" t="s">
        <v>432</v>
      </c>
      <c r="G25" s="6" t="s">
        <v>433</v>
      </c>
      <c r="H25" s="6">
        <v>0.5</v>
      </c>
      <c r="I25" s="432" t="s">
        <v>174</v>
      </c>
      <c r="J25" s="7" t="e">
        <f>+#REF!</f>
        <v>#REF!</v>
      </c>
      <c r="K25" s="7" t="str">
        <f>+IFERROR(#REF!,"-")</f>
        <v>-</v>
      </c>
      <c r="L25" s="7" t="str">
        <f>+IFERROR(#REF!,"-")</f>
        <v>-</v>
      </c>
      <c r="M25" s="10" t="str">
        <f>IFERROR(+#REF!,"-")</f>
        <v>-</v>
      </c>
      <c r="N25" s="39" t="str">
        <f>IFERROR(IF((J25*100%)&gt;=1%,1,"-"),"-")</f>
        <v>-</v>
      </c>
      <c r="O25" s="39" t="str">
        <f>IFERROR(IF((K25*100%)&gt;=1%,1,"-"),"-")</f>
        <v>-</v>
      </c>
      <c r="P25" s="39" t="str">
        <f>IFERROR(IF((L25*100%)&gt;=1%,1,"-"),"-")</f>
        <v>-</v>
      </c>
      <c r="Q25" s="39" t="str">
        <f>IFERROR(IF((M25*100%)&gt;=1%,1,"-"),"-")</f>
        <v>-</v>
      </c>
      <c r="R25" s="39" t="str">
        <f t="shared" si="4"/>
        <v>-</v>
      </c>
    </row>
    <row r="26" spans="1:18" ht="39" customHeight="1" x14ac:dyDescent="0.2">
      <c r="A26" s="430"/>
      <c r="B26" s="436"/>
      <c r="C26" s="23" t="s">
        <v>181</v>
      </c>
      <c r="D26" s="11" t="s">
        <v>182</v>
      </c>
      <c r="E26" s="6">
        <v>0.3</v>
      </c>
      <c r="F26" s="19" t="s">
        <v>171</v>
      </c>
      <c r="G26" s="6" t="s">
        <v>172</v>
      </c>
      <c r="H26" s="6">
        <v>0.3</v>
      </c>
      <c r="I26" s="433"/>
      <c r="J26" s="7"/>
      <c r="K26" s="7" t="str">
        <f>+IFERROR(#REF!,"-")</f>
        <v>-</v>
      </c>
      <c r="L26" s="7" t="str">
        <f>+IFERROR(#REF!,"-")</f>
        <v>-</v>
      </c>
      <c r="M26" s="7" t="str">
        <f>+IFERROR(#REF!,"-")</f>
        <v>-</v>
      </c>
      <c r="N26" s="39">
        <f t="shared" si="5"/>
        <v>0</v>
      </c>
      <c r="O26" s="39" t="str">
        <f>IFERROR((K26*100%)/H26,"-")</f>
        <v>-</v>
      </c>
      <c r="P26" s="39" t="str">
        <f>IFERROR((L26*100%)/H26,"-")</f>
        <v>-</v>
      </c>
      <c r="Q26" s="39" t="str">
        <f>IFERROR((M26*100%)/H26,"-")</f>
        <v>-</v>
      </c>
      <c r="R26" s="39">
        <f t="shared" si="4"/>
        <v>0</v>
      </c>
    </row>
    <row r="27" spans="1:18" ht="39" customHeight="1" x14ac:dyDescent="0.2">
      <c r="A27" s="430"/>
      <c r="B27" s="436"/>
      <c r="C27" s="23" t="s">
        <v>183</v>
      </c>
      <c r="D27" s="11" t="s">
        <v>184</v>
      </c>
      <c r="E27" s="22">
        <v>1</v>
      </c>
      <c r="F27" s="19" t="s">
        <v>185</v>
      </c>
      <c r="G27" s="11" t="s">
        <v>186</v>
      </c>
      <c r="H27" s="21">
        <v>1</v>
      </c>
      <c r="I27" s="433"/>
      <c r="J27" s="7"/>
      <c r="K27" s="22"/>
      <c r="L27" s="22" t="e">
        <f>+#REF!</f>
        <v>#REF!</v>
      </c>
      <c r="M27" s="22" t="e">
        <f>+#REF!</f>
        <v>#REF!</v>
      </c>
      <c r="N27" s="39">
        <f>IFERROR((J27*100%)/H27,"-")</f>
        <v>0</v>
      </c>
      <c r="O27" s="39">
        <f>IFERROR((K27*100%)/H27,"-")</f>
        <v>0</v>
      </c>
      <c r="P27" s="39" t="str">
        <f>IFERROR((L27*100%)/H27,"-")</f>
        <v>-</v>
      </c>
      <c r="Q27" s="39" t="e">
        <f>IF(M27=1,1,"-")</f>
        <v>#REF!</v>
      </c>
      <c r="R27" s="39" t="str">
        <f t="shared" si="4"/>
        <v>-</v>
      </c>
    </row>
    <row r="28" spans="1:18" ht="84.75" customHeight="1" x14ac:dyDescent="0.2">
      <c r="A28" s="431"/>
      <c r="B28" s="437"/>
      <c r="C28" s="23" t="s">
        <v>187</v>
      </c>
      <c r="D28" s="11" t="s">
        <v>188</v>
      </c>
      <c r="E28" s="22">
        <v>1</v>
      </c>
      <c r="F28" s="19" t="s">
        <v>189</v>
      </c>
      <c r="G28" s="11" t="s">
        <v>190</v>
      </c>
      <c r="H28" s="21">
        <v>1</v>
      </c>
      <c r="I28" s="434"/>
      <c r="J28" s="7"/>
      <c r="K28" s="22"/>
      <c r="L28" s="22" t="str">
        <f>+IFERROR(#REF!,"-")</f>
        <v>-</v>
      </c>
      <c r="M28" s="22" t="str">
        <f>+IFERROR(#REF!,"-")</f>
        <v>-</v>
      </c>
      <c r="N28" s="39">
        <f t="shared" si="5"/>
        <v>0</v>
      </c>
      <c r="O28" s="39">
        <f>IFERROR((K28*100%)/H28,"-")</f>
        <v>0</v>
      </c>
      <c r="P28" s="39" t="str">
        <f>IFERROR((L28*100%)/H28,"-")</f>
        <v>-</v>
      </c>
      <c r="Q28" s="39" t="str">
        <f>IF(M28=1,1,"-")</f>
        <v>-</v>
      </c>
      <c r="R28" s="39">
        <f t="shared" si="4"/>
        <v>0</v>
      </c>
    </row>
    <row r="29" spans="1:18" ht="45.6" customHeight="1" x14ac:dyDescent="0.2">
      <c r="A29" s="438" t="s">
        <v>684</v>
      </c>
      <c r="B29" s="439"/>
      <c r="C29" s="439"/>
      <c r="D29" s="439"/>
      <c r="E29" s="439"/>
      <c r="F29" s="439"/>
      <c r="G29" s="439"/>
      <c r="H29" s="439"/>
      <c r="I29" s="439"/>
      <c r="J29" s="439"/>
      <c r="K29" s="352" t="str">
        <f>IFERROR(+AVERAGE(K7:K28),"-")</f>
        <v>-</v>
      </c>
      <c r="L29" s="350"/>
      <c r="M29" s="351"/>
      <c r="N29" s="39">
        <f>+IFERROR(AVERAGE(N7:N28),"-")</f>
        <v>0</v>
      </c>
      <c r="O29" s="39">
        <f>+IFERROR(AVERAGE(O7:O28),"-")</f>
        <v>0</v>
      </c>
      <c r="P29" s="39" t="str">
        <f>+IFERROR(AVERAGE(P7:P28),"-")</f>
        <v>-</v>
      </c>
      <c r="Q29" s="39" t="str">
        <f>+IFERROR(AVERAGE(Q7:Q28),"-")</f>
        <v>-</v>
      </c>
      <c r="R29" s="39">
        <f>+IFERROR(AVERAGE(R7:R28),"-")</f>
        <v>8.3333333333333329E-2</v>
      </c>
    </row>
  </sheetData>
  <mergeCells count="30">
    <mergeCell ref="A29:J29"/>
    <mergeCell ref="A20:A24"/>
    <mergeCell ref="B20:B24"/>
    <mergeCell ref="C23:C24"/>
    <mergeCell ref="I23:I24"/>
    <mergeCell ref="A25:A28"/>
    <mergeCell ref="B25:B28"/>
    <mergeCell ref="I25:I28"/>
    <mergeCell ref="A16:A18"/>
    <mergeCell ref="B16:B18"/>
    <mergeCell ref="A9:A10"/>
    <mergeCell ref="B9:B10"/>
    <mergeCell ref="C9:C10"/>
    <mergeCell ref="A12:A15"/>
    <mergeCell ref="B12:B15"/>
    <mergeCell ref="N5:R5"/>
    <mergeCell ref="B1:R1"/>
    <mergeCell ref="A2:A3"/>
    <mergeCell ref="B2:R3"/>
    <mergeCell ref="A4:C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M5"/>
  </mergeCells>
  <conditionalFormatting sqref="N7:R29">
    <cfRule type="cellIs" dxfId="110" priority="28" operator="lessThan">
      <formula>0.6</formula>
    </cfRule>
    <cfRule type="cellIs" dxfId="109" priority="29" operator="between">
      <formula>60%</formula>
      <formula>79%</formula>
    </cfRule>
    <cfRule type="cellIs" dxfId="108" priority="30" operator="between">
      <formula>80%</formula>
      <formula>100%</formula>
    </cfRule>
  </conditionalFormatting>
  <conditionalFormatting sqref="K7:M7">
    <cfRule type="cellIs" dxfId="107" priority="25" operator="lessThan">
      <formula>0.6</formula>
    </cfRule>
    <cfRule type="cellIs" dxfId="106" priority="26" operator="between">
      <formula>60%</formula>
      <formula>79%</formula>
    </cfRule>
    <cfRule type="cellIs" dxfId="105" priority="27" operator="between">
      <formula>80%</formula>
      <formula>100%</formula>
    </cfRule>
  </conditionalFormatting>
  <conditionalFormatting sqref="K9:L9">
    <cfRule type="cellIs" dxfId="104" priority="16" operator="lessThan">
      <formula>0.6</formula>
    </cfRule>
    <cfRule type="cellIs" dxfId="103" priority="17" operator="between">
      <formula>60%</formula>
      <formula>79%</formula>
    </cfRule>
    <cfRule type="cellIs" dxfId="102" priority="18" operator="between">
      <formula>80%</formula>
      <formula>100%</formula>
    </cfRule>
  </conditionalFormatting>
  <conditionalFormatting sqref="J7">
    <cfRule type="cellIs" dxfId="101" priority="7" operator="lessThan">
      <formula>0.6</formula>
    </cfRule>
    <cfRule type="cellIs" dxfId="100" priority="8" operator="between">
      <formula>60%</formula>
      <formula>79%</formula>
    </cfRule>
    <cfRule type="cellIs" dxfId="99" priority="9" operator="between">
      <formula>80%</formula>
      <formula>100%</formula>
    </cfRule>
  </conditionalFormatting>
  <conditionalFormatting sqref="J8:J15">
    <cfRule type="cellIs" dxfId="98" priority="1" operator="lessThan">
      <formula>0.6</formula>
    </cfRule>
    <cfRule type="cellIs" dxfId="97" priority="2" operator="between">
      <formula>60%</formula>
      <formula>79%</formula>
    </cfRule>
    <cfRule type="cellIs" dxfId="96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"/>
  <sheetViews>
    <sheetView tabSelected="1" zoomScale="85" zoomScaleNormal="85" zoomScaleSheetLayoutView="80" workbookViewId="0">
      <selection activeCell="B2" sqref="B2:V2"/>
    </sheetView>
  </sheetViews>
  <sheetFormatPr baseColWidth="10" defaultColWidth="11.42578125" defaultRowHeight="15" x14ac:dyDescent="0.25"/>
  <cols>
    <col min="1" max="1" width="1.42578125" style="130" customWidth="1"/>
    <col min="2" max="2" width="16" style="130" customWidth="1"/>
    <col min="3" max="3" width="24.7109375" style="130" customWidth="1"/>
    <col min="4" max="4" width="12.5703125" style="130" customWidth="1"/>
    <col min="5" max="5" width="5.7109375" style="130" customWidth="1"/>
    <col min="6" max="6" width="11.28515625" style="130" customWidth="1"/>
    <col min="7" max="7" width="9.7109375" style="130" customWidth="1"/>
    <col min="8" max="8" width="16.28515625" style="130" customWidth="1"/>
    <col min="9" max="9" width="14" style="130" customWidth="1"/>
    <col min="10" max="10" width="15.28515625" style="130" customWidth="1"/>
    <col min="11" max="11" width="8" style="130" customWidth="1"/>
    <col min="12" max="12" width="12.28515625" style="130" customWidth="1"/>
    <col min="13" max="13" width="1.140625" style="130" customWidth="1"/>
    <col min="14" max="14" width="8.85546875" style="130" customWidth="1"/>
    <col min="15" max="15" width="14.5703125" style="130" customWidth="1"/>
    <col min="16" max="16" width="13.28515625" style="130" customWidth="1"/>
    <col min="17" max="17" width="15.28515625" style="130" customWidth="1"/>
    <col min="18" max="18" width="5.140625" style="130" customWidth="1"/>
    <col min="19" max="19" width="8.7109375" style="130" customWidth="1"/>
    <col min="20" max="20" width="10.140625" style="130" customWidth="1"/>
    <col min="21" max="21" width="6.5703125" style="130" customWidth="1"/>
    <col min="22" max="22" width="9" style="130" customWidth="1"/>
    <col min="23" max="16384" width="11.42578125" style="130"/>
  </cols>
  <sheetData>
    <row r="1" spans="2:23" ht="15.75" thickBot="1" x14ac:dyDescent="0.3"/>
    <row r="2" spans="2:23" ht="45" customHeight="1" thickBot="1" x14ac:dyDescent="0.3">
      <c r="B2" s="455" t="s">
        <v>381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7"/>
    </row>
    <row r="3" spans="2:23" ht="15.75" x14ac:dyDescent="0.25">
      <c r="B3" s="99"/>
      <c r="C3" s="100"/>
      <c r="D3" s="100"/>
      <c r="E3" s="100"/>
      <c r="F3" s="100"/>
      <c r="G3" s="100"/>
      <c r="H3" s="99"/>
      <c r="I3" s="100"/>
      <c r="J3" s="100"/>
      <c r="K3" s="100"/>
      <c r="L3" s="100"/>
      <c r="M3" s="100"/>
      <c r="N3" s="100"/>
      <c r="O3" s="99"/>
      <c r="P3" s="100"/>
      <c r="Q3" s="100"/>
      <c r="R3" s="100"/>
      <c r="S3" s="100"/>
      <c r="T3" s="100"/>
      <c r="U3" s="100"/>
      <c r="V3" s="101"/>
      <c r="W3" s="138"/>
    </row>
    <row r="4" spans="2:23" ht="15.75" x14ac:dyDescent="0.25">
      <c r="B4" s="102" t="s">
        <v>374</v>
      </c>
      <c r="C4" s="103"/>
      <c r="D4" s="103"/>
      <c r="E4" s="103"/>
      <c r="F4" s="103"/>
      <c r="G4" s="104" t="str">
        <f>IFERROR(AVERAGE(F6:F10),"-")</f>
        <v>-</v>
      </c>
      <c r="H4" s="102" t="s">
        <v>375</v>
      </c>
      <c r="I4" s="128"/>
      <c r="J4" s="128"/>
      <c r="K4" s="103"/>
      <c r="L4" s="103"/>
      <c r="M4" s="103"/>
      <c r="N4" s="168">
        <f>IFERROR(AVERAGE(L6:L11),"-")</f>
        <v>0</v>
      </c>
      <c r="O4" s="102" t="s">
        <v>376</v>
      </c>
      <c r="P4" s="128"/>
      <c r="Q4" s="128"/>
      <c r="R4" s="103"/>
      <c r="S4" s="103"/>
      <c r="T4" s="103"/>
      <c r="U4" s="103"/>
      <c r="V4" s="105">
        <f>AVERAGE(S6:S13)</f>
        <v>0</v>
      </c>
      <c r="W4" s="139"/>
    </row>
    <row r="5" spans="2:23" ht="15.75" x14ac:dyDescent="0.25">
      <c r="B5" s="106"/>
      <c r="C5" s="103"/>
      <c r="D5" s="103"/>
      <c r="E5" s="103"/>
      <c r="F5" s="103"/>
      <c r="G5" s="103"/>
      <c r="H5" s="106"/>
      <c r="I5" s="103"/>
      <c r="J5" s="103"/>
      <c r="K5" s="103"/>
      <c r="L5" s="103"/>
      <c r="M5" s="103"/>
      <c r="N5" s="107"/>
      <c r="O5" s="106"/>
      <c r="P5" s="103"/>
      <c r="Q5" s="103"/>
      <c r="R5" s="103"/>
      <c r="S5" s="103"/>
      <c r="T5" s="103"/>
      <c r="U5" s="103"/>
      <c r="V5" s="107"/>
      <c r="W5" s="139"/>
    </row>
    <row r="6" spans="2:23" ht="37.5" customHeight="1" x14ac:dyDescent="0.25">
      <c r="B6" s="446" t="s">
        <v>216</v>
      </c>
      <c r="C6" s="447"/>
      <c r="D6" s="447"/>
      <c r="E6" s="108"/>
      <c r="F6" s="159" t="str">
        <f>+PEGIF!AS29</f>
        <v>-</v>
      </c>
      <c r="G6" s="108"/>
      <c r="H6" s="453" t="s">
        <v>35</v>
      </c>
      <c r="I6" s="454"/>
      <c r="J6" s="454"/>
      <c r="K6" s="136"/>
      <c r="L6" s="450" t="str">
        <f>+IFERROR('Modelo Atención'!AX8:AX9,"-")</f>
        <v>-</v>
      </c>
      <c r="M6" s="108"/>
      <c r="N6" s="110"/>
      <c r="O6" s="462" t="s">
        <v>95</v>
      </c>
      <c r="P6" s="463"/>
      <c r="Q6" s="463"/>
      <c r="R6" s="111"/>
      <c r="S6" s="109" t="str">
        <f>+MIPG!AX8</f>
        <v>-</v>
      </c>
      <c r="T6" s="103"/>
      <c r="U6" s="103"/>
      <c r="V6" s="107"/>
      <c r="W6" s="139"/>
    </row>
    <row r="7" spans="2:23" ht="30" customHeight="1" x14ac:dyDescent="0.25">
      <c r="B7" s="446" t="s">
        <v>82</v>
      </c>
      <c r="C7" s="447"/>
      <c r="D7" s="447"/>
      <c r="E7" s="108"/>
      <c r="F7" s="159" t="str">
        <f>+Costos!AC12</f>
        <v>-</v>
      </c>
      <c r="G7" s="108"/>
      <c r="H7" s="453"/>
      <c r="I7" s="454"/>
      <c r="J7" s="454"/>
      <c r="K7" s="136"/>
      <c r="L7" s="451"/>
      <c r="M7" s="108"/>
      <c r="N7" s="112"/>
      <c r="O7" s="464" t="s">
        <v>443</v>
      </c>
      <c r="P7" s="465"/>
      <c r="Q7" s="465"/>
      <c r="R7" s="108"/>
      <c r="S7" s="109" t="str">
        <f>+IFERROR('Integración SI'!AL10:AL11,"-")</f>
        <v>-</v>
      </c>
      <c r="T7" s="113"/>
      <c r="U7" s="103"/>
      <c r="V7" s="107"/>
      <c r="W7" s="139"/>
    </row>
    <row r="8" spans="2:23" ht="41.25" customHeight="1" x14ac:dyDescent="0.25">
      <c r="B8" s="446" t="s">
        <v>85</v>
      </c>
      <c r="C8" s="447"/>
      <c r="D8" s="447"/>
      <c r="E8" s="108"/>
      <c r="F8" s="159" t="str">
        <f>+IFERROR('Prevención Daño Ant'!AG10:AG11,"-")</f>
        <v>-</v>
      </c>
      <c r="G8" s="108"/>
      <c r="H8" s="453" t="s">
        <v>437</v>
      </c>
      <c r="I8" s="454"/>
      <c r="J8" s="454"/>
      <c r="K8" s="108"/>
      <c r="L8" s="109" t="str">
        <f>+IFERROR('Seguridad Paciente'!AX11:AX12,"-")</f>
        <v>-</v>
      </c>
      <c r="M8" s="108"/>
      <c r="N8" s="112"/>
      <c r="O8" s="446" t="s">
        <v>440</v>
      </c>
      <c r="P8" s="447"/>
      <c r="Q8" s="447"/>
      <c r="R8" s="108"/>
      <c r="S8" s="109" t="str">
        <f>+IFERROR('Gestión Tecnología'!AL10:AL11,"-")</f>
        <v>-</v>
      </c>
      <c r="T8" s="103"/>
      <c r="U8" s="103"/>
      <c r="V8" s="107"/>
      <c r="W8" s="139"/>
    </row>
    <row r="9" spans="2:23" ht="28.5" customHeight="1" x14ac:dyDescent="0.25">
      <c r="B9" s="448" t="s">
        <v>436</v>
      </c>
      <c r="C9" s="449"/>
      <c r="D9" s="449"/>
      <c r="E9" s="108"/>
      <c r="F9" s="159" t="str">
        <f>+IFERROR('Construcción-Adecuación'!X12:X13,"-")</f>
        <v>-</v>
      </c>
      <c r="G9" s="108"/>
      <c r="H9" s="446" t="s">
        <v>438</v>
      </c>
      <c r="I9" s="447"/>
      <c r="J9" s="447"/>
      <c r="K9" s="137"/>
      <c r="L9" s="109">
        <f>+'Alta Complejidad'!AF8:AF9</f>
        <v>0</v>
      </c>
      <c r="M9" s="108"/>
      <c r="N9" s="112"/>
      <c r="O9" s="446" t="s">
        <v>515</v>
      </c>
      <c r="P9" s="447"/>
      <c r="Q9" s="447"/>
      <c r="R9" s="114"/>
      <c r="S9" s="109">
        <f>+'ISO 140012015'!AC8</f>
        <v>0</v>
      </c>
      <c r="T9" s="103"/>
      <c r="U9" s="103"/>
      <c r="V9" s="107"/>
      <c r="W9" s="139"/>
    </row>
    <row r="10" spans="2:23" ht="43.5" customHeight="1" x14ac:dyDescent="0.25">
      <c r="B10" s="448" t="s">
        <v>411</v>
      </c>
      <c r="C10" s="449"/>
      <c r="D10" s="449"/>
      <c r="E10" s="108"/>
      <c r="F10" s="159" t="str">
        <f>+PEGITH!BD16</f>
        <v>-</v>
      </c>
      <c r="G10" s="108"/>
      <c r="H10" s="446" t="s">
        <v>514</v>
      </c>
      <c r="I10" s="447"/>
      <c r="J10" s="447"/>
      <c r="K10" s="127"/>
      <c r="L10" s="109" t="str">
        <f>+BPE!AC9</f>
        <v>-</v>
      </c>
      <c r="M10" s="108"/>
      <c r="N10" s="112"/>
      <c r="O10" s="452" t="s">
        <v>441</v>
      </c>
      <c r="P10" s="452"/>
      <c r="Q10" s="452"/>
      <c r="R10" s="108"/>
      <c r="S10" s="109">
        <f>+'ISO 450012018'!AC8</f>
        <v>0</v>
      </c>
      <c r="T10" s="103"/>
      <c r="U10" s="103"/>
      <c r="V10" s="107"/>
      <c r="W10" s="139"/>
    </row>
    <row r="11" spans="2:23" ht="30" customHeight="1" x14ac:dyDescent="0.25">
      <c r="B11" s="115"/>
      <c r="C11" s="108"/>
      <c r="D11" s="108"/>
      <c r="E11" s="108"/>
      <c r="F11" s="108"/>
      <c r="G11" s="108"/>
      <c r="H11" s="115"/>
      <c r="I11" s="108"/>
      <c r="J11" s="108"/>
      <c r="K11" s="108"/>
      <c r="L11" s="108"/>
      <c r="M11" s="108"/>
      <c r="N11" s="112"/>
      <c r="O11" s="453" t="s">
        <v>442</v>
      </c>
      <c r="P11" s="454"/>
      <c r="Q11" s="454"/>
      <c r="R11" s="103"/>
      <c r="S11" s="141">
        <f>+'ISO 90012015'!P8</f>
        <v>0</v>
      </c>
      <c r="T11" s="103"/>
      <c r="U11" s="103"/>
      <c r="V11" s="107"/>
      <c r="W11" s="139"/>
    </row>
    <row r="12" spans="2:23" ht="74.25" customHeight="1" x14ac:dyDescent="0.25">
      <c r="B12" s="115"/>
      <c r="C12" s="108"/>
      <c r="D12" s="108"/>
      <c r="E12" s="108"/>
      <c r="F12" s="108"/>
      <c r="G12" s="108"/>
      <c r="H12" s="115"/>
      <c r="I12" s="108"/>
      <c r="J12" s="108"/>
      <c r="K12" s="108"/>
      <c r="L12" s="108"/>
      <c r="M12" s="108"/>
      <c r="N12" s="112"/>
      <c r="O12" s="446" t="s">
        <v>787</v>
      </c>
      <c r="P12" s="447"/>
      <c r="Q12" s="447"/>
      <c r="R12" s="103"/>
      <c r="S12" s="109">
        <f>+'Gestion Investigación'!P12:P13</f>
        <v>0</v>
      </c>
      <c r="T12" s="103"/>
      <c r="U12" s="103"/>
      <c r="V12" s="107"/>
      <c r="W12" s="139"/>
    </row>
    <row r="13" spans="2:23" ht="45" customHeight="1" x14ac:dyDescent="0.25">
      <c r="B13" s="115"/>
      <c r="C13" s="108"/>
      <c r="D13" s="108"/>
      <c r="E13" s="108"/>
      <c r="F13" s="108"/>
      <c r="G13" s="108"/>
      <c r="H13" s="115"/>
      <c r="I13" s="108"/>
      <c r="J13" s="108"/>
      <c r="K13" s="108"/>
      <c r="L13" s="108"/>
      <c r="M13" s="108"/>
      <c r="N13" s="112"/>
      <c r="O13" s="453" t="s">
        <v>307</v>
      </c>
      <c r="P13" s="454"/>
      <c r="Q13" s="454"/>
      <c r="R13" s="108"/>
      <c r="S13" s="109">
        <f>IFERROR(+Acreditación!AX9,"-")</f>
        <v>0</v>
      </c>
      <c r="T13" s="108"/>
      <c r="U13" s="103"/>
      <c r="V13" s="107"/>
      <c r="W13" s="139"/>
    </row>
    <row r="14" spans="2:23" ht="16.5" thickBot="1" x14ac:dyDescent="0.3">
      <c r="B14" s="116"/>
      <c r="C14" s="129"/>
      <c r="D14" s="117"/>
      <c r="E14" s="117"/>
      <c r="F14" s="117"/>
      <c r="G14" s="118"/>
      <c r="H14" s="116"/>
      <c r="I14" s="118"/>
      <c r="J14" s="118"/>
      <c r="K14" s="117"/>
      <c r="L14" s="117"/>
      <c r="M14" s="117"/>
      <c r="N14" s="119"/>
      <c r="O14" s="120"/>
      <c r="P14" s="117"/>
      <c r="Q14" s="117"/>
      <c r="R14" s="117"/>
      <c r="S14" s="118"/>
      <c r="T14" s="118"/>
      <c r="U14" s="118"/>
      <c r="V14" s="121"/>
      <c r="W14" s="140"/>
    </row>
    <row r="15" spans="2:23" ht="16.5" thickBot="1" x14ac:dyDescent="0.3">
      <c r="B15" s="132"/>
      <c r="C15" s="163"/>
      <c r="D15" s="132"/>
      <c r="E15" s="132"/>
      <c r="F15" s="132"/>
      <c r="G15" s="458" t="s">
        <v>439</v>
      </c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60"/>
      <c r="S15" s="132"/>
      <c r="T15" s="122">
        <f>AVERAGE(F6:F10,L6:L12,S6:S13)</f>
        <v>0</v>
      </c>
      <c r="U15" s="132"/>
      <c r="V15" s="132"/>
    </row>
    <row r="16" spans="2:23" ht="16.5" thickBot="1" x14ac:dyDescent="0.3">
      <c r="B16" s="461" t="s">
        <v>377</v>
      </c>
      <c r="C16" s="461"/>
      <c r="D16" s="131">
        <f>SUM(C17:D19)</f>
        <v>5</v>
      </c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</row>
    <row r="17" spans="2:22" ht="17.25" customHeight="1" x14ac:dyDescent="0.25">
      <c r="B17" s="133" t="s">
        <v>378</v>
      </c>
      <c r="C17" s="134">
        <f>+COUNT(B6:D10)</f>
        <v>0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5"/>
      <c r="T17" s="132"/>
      <c r="U17" s="132"/>
      <c r="V17" s="132"/>
    </row>
    <row r="18" spans="2:22" ht="15.75" x14ac:dyDescent="0.25">
      <c r="B18" s="133" t="s">
        <v>379</v>
      </c>
      <c r="C18" s="160">
        <f>+COUNT(L6:L12)</f>
        <v>1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</row>
    <row r="19" spans="2:22" ht="15.75" x14ac:dyDescent="0.25">
      <c r="B19" s="133" t="s">
        <v>380</v>
      </c>
      <c r="C19" s="134">
        <f>+COUNT(S6:S12)</f>
        <v>4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</row>
  </sheetData>
  <mergeCells count="21">
    <mergeCell ref="B2:V2"/>
    <mergeCell ref="G15:R15"/>
    <mergeCell ref="B16:C16"/>
    <mergeCell ref="B6:D6"/>
    <mergeCell ref="B7:D7"/>
    <mergeCell ref="B8:D8"/>
    <mergeCell ref="B9:D9"/>
    <mergeCell ref="B10:D10"/>
    <mergeCell ref="H8:J8"/>
    <mergeCell ref="H6:J7"/>
    <mergeCell ref="H9:J9"/>
    <mergeCell ref="O6:Q6"/>
    <mergeCell ref="O7:Q7"/>
    <mergeCell ref="O8:Q8"/>
    <mergeCell ref="O13:Q13"/>
    <mergeCell ref="H10:J10"/>
    <mergeCell ref="O12:Q12"/>
    <mergeCell ref="L6:L7"/>
    <mergeCell ref="O9:Q9"/>
    <mergeCell ref="O10:Q10"/>
    <mergeCell ref="O11:Q11"/>
  </mergeCells>
  <conditionalFormatting sqref="F6:F7 L6 S6:S12 L8:L10">
    <cfRule type="cellIs" dxfId="95" priority="25" operator="greaterThan">
      <formula>0.8</formula>
    </cfRule>
    <cfRule type="cellIs" dxfId="94" priority="26" operator="between">
      <formula>0.6</formula>
      <formula>0.799</formula>
    </cfRule>
    <cfRule type="cellIs" dxfId="93" priority="27" operator="lessThan">
      <formula>0.599</formula>
    </cfRule>
  </conditionalFormatting>
  <conditionalFormatting sqref="F8:F9">
    <cfRule type="cellIs" dxfId="92" priority="22" operator="greaterThan">
      <formula>0.8</formula>
    </cfRule>
    <cfRule type="cellIs" dxfId="91" priority="23" operator="between">
      <formula>0.6</formula>
      <formula>0.799</formula>
    </cfRule>
    <cfRule type="cellIs" dxfId="90" priority="24" operator="lessThan">
      <formula>0.599</formula>
    </cfRule>
  </conditionalFormatting>
  <conditionalFormatting sqref="G4">
    <cfRule type="cellIs" dxfId="89" priority="13" operator="greaterThan">
      <formula>0.8</formula>
    </cfRule>
    <cfRule type="cellIs" dxfId="88" priority="14" operator="between">
      <formula>0.6</formula>
      <formula>0.799</formula>
    </cfRule>
    <cfRule type="cellIs" dxfId="87" priority="15" operator="lessThan">
      <formula>0.599</formula>
    </cfRule>
  </conditionalFormatting>
  <conditionalFormatting sqref="N4">
    <cfRule type="cellIs" dxfId="86" priority="10" operator="greaterThan">
      <formula>0.8</formula>
    </cfRule>
    <cfRule type="cellIs" dxfId="85" priority="11" operator="between">
      <formula>0.6</formula>
      <formula>0.799</formula>
    </cfRule>
    <cfRule type="cellIs" dxfId="84" priority="12" operator="lessThan">
      <formula>0.599</formula>
    </cfRule>
  </conditionalFormatting>
  <conditionalFormatting sqref="V4">
    <cfRule type="cellIs" dxfId="83" priority="7" operator="greaterThan">
      <formula>0.8</formula>
    </cfRule>
    <cfRule type="cellIs" dxfId="82" priority="8" operator="between">
      <formula>0.6</formula>
      <formula>0.799</formula>
    </cfRule>
    <cfRule type="cellIs" dxfId="81" priority="9" operator="lessThan">
      <formula>0.599</formula>
    </cfRule>
  </conditionalFormatting>
  <conditionalFormatting sqref="F10">
    <cfRule type="cellIs" dxfId="80" priority="4" operator="greaterThan">
      <formula>0.8</formula>
    </cfRule>
    <cfRule type="cellIs" dxfId="79" priority="5" operator="between">
      <formula>0.6</formula>
      <formula>0.799</formula>
    </cfRule>
    <cfRule type="cellIs" dxfId="78" priority="6" operator="lessThan">
      <formula>0.599</formula>
    </cfRule>
  </conditionalFormatting>
  <conditionalFormatting sqref="S13">
    <cfRule type="cellIs" dxfId="77" priority="1" operator="greaterThan">
      <formula>0.8</formula>
    </cfRule>
    <cfRule type="cellIs" dxfId="76" priority="2" operator="between">
      <formula>0.6</formula>
      <formula>0.799</formula>
    </cfRule>
    <cfRule type="cellIs" dxfId="75" priority="3" operator="lessThan">
      <formula>0.599</formula>
    </cfRule>
  </conditionalFormatting>
  <hyperlinks>
    <hyperlink ref="O7:Q7" location="'Integración SI'!A1" display="Programa de  integración del sistema de información "/>
    <hyperlink ref="O12:Q12" location="'Gestion Investigación'!A1" display="Programa de Investigación, Docencia e Innovación"/>
    <hyperlink ref="O6:Q6" location="MIPG!A1" display="Índice de Desempeño Institucional"/>
    <hyperlink ref="O9:Q9" location="'ISO 450012018'!A1" display="Cumplimiento de los requisitos de la norma  ISO 14001:2015"/>
    <hyperlink ref="B6:D6" location="PEGIF!A1" display="Programa de gestión institucional de los recursos financieros (PEGIF) "/>
    <hyperlink ref="B7:D7" location="Costos!A1" display="Programa Gestión de Sistema de Costos"/>
    <hyperlink ref="B9:D9" location="'Construcción-Adecuación'!A1" display="Programa  de adecuación y mejoramiento de infraestructura física"/>
    <hyperlink ref="O8:Q8" location="'Gestión Tecnología'!A1" display="Programa de Gestión de tecnología y  dotación Hospitalaria."/>
    <hyperlink ref="H10:J10" location="BPE!A1" display="Cumplimiento de requisitos de Buenas practicas de elaboración "/>
    <hyperlink ref="O11:Q11" location="'ISO 90012015'!A1" display="Cumplimiento de los requisitos de la norma   ISO 9001:2015"/>
    <hyperlink ref="B8:D8" location="'Prevención Daño Ant'!A1" display="Fortalecimiento de la gestión del riesgo y prevención del daño antijurídico de la entidad"/>
    <hyperlink ref="B10:D10" location="PEGITH!A1" display="Programa de Gestión integral y bienestar del talento humano  que impacten en la  calidad de la  atención del usuario y su familia. "/>
    <hyperlink ref="O13:Q13" location="Acreditación!A1" display="Fortalecer la  implementación del proceso de acreditación frente al  despliegue y aplicación del enfoque y extensión a los clientes  interno y externo."/>
    <hyperlink ref="O10:Q10" location="'ISO 450012018'!A1" display=" Cumplimiento de los requisitos de la norma  ISO 45001:2018"/>
    <hyperlink ref="H6:J7" location="'Modelo Atención'!A1" display="Modelo de atención articulado con los procesos institucionales, generando una implementación oportuna, pertinente, segura e integral para el Usuario y su familia."/>
    <hyperlink ref="H9:J9" location="'Alta Complejidad'!A1" display="Programa integralidad de alta complejidad y seguimiento  comunitario."/>
    <hyperlink ref="H8:J8" location="'Seguridad Paciente'!A1" display="Programa de Seguridad del Paciente bajo el enfoque de adaptación y mitigación de riesgos  "/>
  </hyperlink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AA40"/>
  <sheetViews>
    <sheetView view="pageBreakPreview" zoomScale="90" zoomScaleNormal="100" zoomScaleSheetLayoutView="90" workbookViewId="0">
      <selection activeCell="Q11" sqref="Q11"/>
    </sheetView>
  </sheetViews>
  <sheetFormatPr baseColWidth="10" defaultRowHeight="15" x14ac:dyDescent="0.25"/>
  <cols>
    <col min="1" max="1" width="4.7109375" customWidth="1"/>
    <col min="2" max="2" width="9.28515625" customWidth="1"/>
    <col min="3" max="3" width="48" customWidth="1"/>
    <col min="4" max="4" width="23.7109375" style="50" customWidth="1"/>
    <col min="5" max="6" width="3.28515625" style="51" customWidth="1"/>
    <col min="7" max="7" width="3.7109375" style="51" customWidth="1"/>
    <col min="8" max="12" width="3.28515625" style="51" customWidth="1"/>
    <col min="13" max="13" width="4.28515625" style="51" customWidth="1"/>
    <col min="14" max="14" width="4.140625" style="51" customWidth="1"/>
    <col min="15" max="23" width="4.28515625" style="51" customWidth="1"/>
    <col min="24" max="24" width="5.140625" style="51" customWidth="1"/>
    <col min="25" max="25" width="4.85546875" style="51" customWidth="1"/>
    <col min="26" max="26" width="4.5703125" style="51" customWidth="1"/>
    <col min="27" max="27" width="23.7109375" style="50" customWidth="1"/>
  </cols>
  <sheetData>
    <row r="1" spans="2:27" ht="99.75" customHeight="1" x14ac:dyDescent="0.25">
      <c r="E1" s="283" t="s">
        <v>579</v>
      </c>
      <c r="F1" s="284" t="s">
        <v>580</v>
      </c>
      <c r="G1" s="284" t="s">
        <v>584</v>
      </c>
      <c r="H1" s="284" t="s">
        <v>585</v>
      </c>
      <c r="I1" s="284" t="s">
        <v>587</v>
      </c>
      <c r="J1" s="284" t="s">
        <v>588</v>
      </c>
      <c r="K1" s="284" t="s">
        <v>589</v>
      </c>
      <c r="L1" s="285" t="s">
        <v>590</v>
      </c>
      <c r="M1" s="284" t="s">
        <v>592</v>
      </c>
      <c r="N1" s="284" t="s">
        <v>593</v>
      </c>
      <c r="O1" s="285" t="s">
        <v>594</v>
      </c>
      <c r="P1" s="284" t="s">
        <v>595</v>
      </c>
      <c r="Q1" s="284" t="s">
        <v>596</v>
      </c>
      <c r="R1" s="284" t="s">
        <v>599</v>
      </c>
      <c r="S1" s="284" t="s">
        <v>600</v>
      </c>
      <c r="T1" s="284" t="s">
        <v>601</v>
      </c>
      <c r="U1" s="284" t="s">
        <v>602</v>
      </c>
      <c r="V1" s="284" t="s">
        <v>603</v>
      </c>
      <c r="W1" s="285" t="s">
        <v>604</v>
      </c>
      <c r="X1" s="284" t="s">
        <v>605</v>
      </c>
      <c r="Y1" s="284" t="s">
        <v>606</v>
      </c>
      <c r="Z1" s="284" t="s">
        <v>607</v>
      </c>
    </row>
    <row r="2" spans="2:27" ht="21" customHeight="1" x14ac:dyDescent="0.25">
      <c r="B2" s="470" t="s">
        <v>233</v>
      </c>
      <c r="C2" s="470" t="s">
        <v>234</v>
      </c>
      <c r="D2" s="471" t="s">
        <v>235</v>
      </c>
      <c r="E2" s="468" t="s">
        <v>262</v>
      </c>
      <c r="F2" s="468" t="s">
        <v>263</v>
      </c>
      <c r="G2" s="468" t="s">
        <v>264</v>
      </c>
      <c r="H2" s="468" t="s">
        <v>265</v>
      </c>
      <c r="I2" s="468" t="s">
        <v>586</v>
      </c>
      <c r="J2" s="468" t="s">
        <v>266</v>
      </c>
      <c r="K2" s="468" t="s">
        <v>267</v>
      </c>
      <c r="L2" s="468" t="s">
        <v>268</v>
      </c>
      <c r="M2" s="468" t="s">
        <v>269</v>
      </c>
      <c r="N2" s="468" t="s">
        <v>270</v>
      </c>
      <c r="O2" s="468" t="s">
        <v>271</v>
      </c>
      <c r="P2" s="468" t="s">
        <v>272</v>
      </c>
      <c r="Q2" s="468" t="s">
        <v>273</v>
      </c>
      <c r="R2" s="468" t="s">
        <v>274</v>
      </c>
      <c r="S2" s="468" t="s">
        <v>275</v>
      </c>
      <c r="T2" s="468" t="s">
        <v>276</v>
      </c>
      <c r="U2" s="468" t="s">
        <v>277</v>
      </c>
      <c r="V2" s="468" t="s">
        <v>278</v>
      </c>
      <c r="W2" s="468" t="s">
        <v>279</v>
      </c>
      <c r="X2" s="468" t="s">
        <v>280</v>
      </c>
      <c r="Y2" s="468" t="s">
        <v>281</v>
      </c>
      <c r="Z2" s="468" t="s">
        <v>282</v>
      </c>
      <c r="AA2" s="466" t="s">
        <v>197</v>
      </c>
    </row>
    <row r="3" spans="2:27" x14ac:dyDescent="0.25">
      <c r="B3" s="470"/>
      <c r="C3" s="470"/>
      <c r="D3" s="471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7"/>
    </row>
    <row r="4" spans="2:27" ht="56.25" customHeight="1" x14ac:dyDescent="0.25">
      <c r="B4" s="52">
        <v>1</v>
      </c>
      <c r="C4" s="53"/>
      <c r="D4" s="54" t="s">
        <v>236</v>
      </c>
      <c r="E4" s="55" t="s">
        <v>237</v>
      </c>
      <c r="F4" s="55"/>
      <c r="G4" s="55" t="s">
        <v>237</v>
      </c>
      <c r="H4" s="55"/>
      <c r="I4" s="55"/>
      <c r="J4" s="55"/>
      <c r="K4" s="55"/>
      <c r="L4" s="55"/>
      <c r="M4" s="55" t="s">
        <v>237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4"/>
    </row>
    <row r="5" spans="2:27" ht="27.75" customHeight="1" x14ac:dyDescent="0.25">
      <c r="B5" s="52">
        <v>2</v>
      </c>
      <c r="C5" s="53"/>
      <c r="D5" s="54" t="s">
        <v>286</v>
      </c>
      <c r="E5" s="55"/>
      <c r="F5" s="55"/>
      <c r="G5" s="55"/>
      <c r="H5" s="55"/>
      <c r="I5" s="55"/>
      <c r="J5" s="55"/>
      <c r="K5" s="55"/>
      <c r="L5" s="55"/>
      <c r="M5" s="55" t="s">
        <v>237</v>
      </c>
      <c r="N5" s="55"/>
      <c r="O5" s="55"/>
      <c r="P5" s="55"/>
      <c r="Q5" s="55"/>
      <c r="R5" s="55"/>
      <c r="S5" s="55"/>
      <c r="T5" s="55"/>
      <c r="U5" s="55"/>
      <c r="V5" s="55"/>
      <c r="W5" s="55" t="s">
        <v>237</v>
      </c>
      <c r="X5" s="55" t="s">
        <v>237</v>
      </c>
      <c r="Y5" s="55" t="s">
        <v>237</v>
      </c>
      <c r="Z5" s="55" t="s">
        <v>237</v>
      </c>
      <c r="AA5" s="54"/>
    </row>
    <row r="6" spans="2:27" ht="19.5" customHeight="1" x14ac:dyDescent="0.25">
      <c r="B6" s="52">
        <v>3</v>
      </c>
      <c r="C6" s="53"/>
      <c r="D6" s="54" t="s">
        <v>238</v>
      </c>
      <c r="E6" s="55"/>
      <c r="F6" s="55"/>
      <c r="G6" s="55" t="s">
        <v>237</v>
      </c>
      <c r="H6" s="55"/>
      <c r="I6" s="55"/>
      <c r="J6" s="55"/>
      <c r="K6" s="55"/>
      <c r="L6" s="55"/>
      <c r="M6" s="55" t="s">
        <v>237</v>
      </c>
      <c r="N6" s="55"/>
      <c r="O6" s="55"/>
      <c r="P6" s="55"/>
      <c r="Q6" s="55" t="s">
        <v>237</v>
      </c>
      <c r="R6" s="55"/>
      <c r="S6" s="55"/>
      <c r="T6" s="55"/>
      <c r="U6" s="55"/>
      <c r="V6" s="55"/>
      <c r="W6" s="55"/>
      <c r="X6" s="55"/>
      <c r="Y6" s="55"/>
      <c r="Z6" s="55"/>
      <c r="AA6" s="54"/>
    </row>
    <row r="7" spans="2:27" ht="18.75" customHeight="1" x14ac:dyDescent="0.25">
      <c r="B7" s="52">
        <v>4</v>
      </c>
      <c r="C7" s="53"/>
      <c r="D7" s="54" t="s">
        <v>239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4"/>
    </row>
    <row r="8" spans="2:27" ht="17.25" customHeight="1" x14ac:dyDescent="0.25">
      <c r="B8" s="52"/>
      <c r="C8" s="53"/>
      <c r="D8" s="54" t="s">
        <v>283</v>
      </c>
      <c r="E8" s="55"/>
      <c r="F8" s="55"/>
      <c r="G8" s="55" t="s">
        <v>237</v>
      </c>
      <c r="H8" s="55"/>
      <c r="I8" s="55"/>
      <c r="J8" s="55"/>
      <c r="K8" s="55"/>
      <c r="L8" s="55" t="s">
        <v>237</v>
      </c>
      <c r="M8" s="55"/>
      <c r="N8" s="55"/>
      <c r="O8" s="55"/>
      <c r="P8" s="55"/>
      <c r="Q8" s="55"/>
      <c r="R8" s="55"/>
      <c r="S8" s="55"/>
      <c r="T8" s="55" t="s">
        <v>237</v>
      </c>
      <c r="U8" s="55"/>
      <c r="V8" s="55"/>
      <c r="W8" s="55"/>
      <c r="X8" s="55"/>
      <c r="Y8" s="55"/>
      <c r="Z8" s="55"/>
      <c r="AA8" s="54"/>
    </row>
    <row r="9" spans="2:27" ht="17.25" customHeight="1" x14ac:dyDescent="0.25">
      <c r="B9" s="52"/>
      <c r="C9" s="53"/>
      <c r="D9" s="54" t="s">
        <v>284</v>
      </c>
      <c r="E9" s="55"/>
      <c r="F9" s="55"/>
      <c r="G9" s="55" t="s">
        <v>237</v>
      </c>
      <c r="H9" s="55"/>
      <c r="I9" s="55"/>
      <c r="J9" s="55"/>
      <c r="K9" s="55"/>
      <c r="L9" s="55"/>
      <c r="M9" s="55"/>
      <c r="N9" s="55"/>
      <c r="O9" s="55"/>
      <c r="P9" s="55"/>
      <c r="Q9" s="55" t="s">
        <v>237</v>
      </c>
      <c r="R9" s="55"/>
      <c r="S9" s="55" t="s">
        <v>237</v>
      </c>
      <c r="T9" s="55"/>
      <c r="U9" s="55"/>
      <c r="V9" s="55"/>
      <c r="W9" s="55"/>
      <c r="X9" s="55"/>
      <c r="Y9" s="55"/>
      <c r="Z9" s="55"/>
      <c r="AA9" s="54"/>
    </row>
    <row r="10" spans="2:27" ht="17.25" customHeight="1" x14ac:dyDescent="0.25">
      <c r="B10" s="52"/>
      <c r="C10" s="53"/>
      <c r="D10" s="54" t="s">
        <v>285</v>
      </c>
      <c r="E10" s="55"/>
      <c r="F10" s="55"/>
      <c r="G10" s="55" t="s">
        <v>237</v>
      </c>
      <c r="H10" s="55"/>
      <c r="I10" s="55"/>
      <c r="J10" s="55"/>
      <c r="K10" s="55"/>
      <c r="L10" s="55"/>
      <c r="M10" s="55"/>
      <c r="N10" s="55"/>
      <c r="O10" s="55"/>
      <c r="P10" s="55"/>
      <c r="Q10" s="55" t="s">
        <v>237</v>
      </c>
      <c r="R10" s="55" t="s">
        <v>237</v>
      </c>
      <c r="S10" s="55"/>
      <c r="T10" s="55"/>
      <c r="U10" s="55"/>
      <c r="V10" s="55"/>
      <c r="W10" s="55"/>
      <c r="X10" s="55"/>
      <c r="Y10" s="55"/>
      <c r="Z10" s="55"/>
      <c r="AA10" s="54"/>
    </row>
    <row r="11" spans="2:27" ht="28.5" customHeight="1" x14ac:dyDescent="0.25">
      <c r="B11" s="52">
        <v>5</v>
      </c>
      <c r="C11" s="53"/>
      <c r="D11" s="144" t="s">
        <v>240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4"/>
    </row>
    <row r="12" spans="2:27" x14ac:dyDescent="0.25">
      <c r="B12" s="52">
        <v>6</v>
      </c>
      <c r="C12" s="53"/>
      <c r="D12" s="144" t="s">
        <v>241</v>
      </c>
      <c r="E12" s="55" t="s">
        <v>237</v>
      </c>
      <c r="F12" s="55" t="s">
        <v>237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4"/>
    </row>
    <row r="13" spans="2:27" x14ac:dyDescent="0.25">
      <c r="B13" s="52">
        <v>7</v>
      </c>
      <c r="C13" s="53"/>
      <c r="D13" s="144" t="s">
        <v>242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 t="s">
        <v>237</v>
      </c>
      <c r="R13" s="55"/>
      <c r="S13" s="55"/>
      <c r="T13" s="55"/>
      <c r="U13" s="55"/>
      <c r="V13" s="55"/>
      <c r="W13" s="55"/>
      <c r="X13" s="55"/>
      <c r="Y13" s="55"/>
      <c r="Z13" s="55"/>
      <c r="AA13" s="54"/>
    </row>
    <row r="14" spans="2:27" x14ac:dyDescent="0.25">
      <c r="B14" s="52">
        <v>8</v>
      </c>
      <c r="C14" s="53"/>
      <c r="D14" s="144" t="s">
        <v>243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 t="s">
        <v>237</v>
      </c>
      <c r="R14" s="55"/>
      <c r="S14" s="55"/>
      <c r="T14" s="55"/>
      <c r="U14" s="55" t="s">
        <v>237</v>
      </c>
      <c r="V14" s="55" t="s">
        <v>237</v>
      </c>
      <c r="W14" s="55"/>
      <c r="X14" s="55"/>
      <c r="Y14" s="55"/>
      <c r="Z14" s="55"/>
      <c r="AA14" s="54"/>
    </row>
    <row r="15" spans="2:27" ht="22.5" x14ac:dyDescent="0.25">
      <c r="B15" s="52">
        <v>9</v>
      </c>
      <c r="C15" s="53"/>
      <c r="D15" s="144" t="s">
        <v>244</v>
      </c>
      <c r="E15" s="55"/>
      <c r="F15" s="55" t="s">
        <v>237</v>
      </c>
      <c r="G15" s="55"/>
      <c r="H15" s="55"/>
      <c r="I15" s="55"/>
      <c r="J15" s="55"/>
      <c r="K15" s="55"/>
      <c r="L15" s="55"/>
      <c r="M15" s="55"/>
      <c r="N15" s="55" t="s">
        <v>237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4"/>
    </row>
    <row r="16" spans="2:27" ht="22.5" x14ac:dyDescent="0.25">
      <c r="B16" s="52"/>
      <c r="C16" s="53"/>
      <c r="D16" s="144" t="s">
        <v>525</v>
      </c>
      <c r="E16" s="55"/>
      <c r="F16" s="55"/>
      <c r="G16" s="55"/>
      <c r="H16" s="55"/>
      <c r="I16" s="55"/>
      <c r="J16" s="55"/>
      <c r="K16" s="55"/>
      <c r="L16" s="55"/>
      <c r="M16" s="55"/>
      <c r="N16" s="55" t="s">
        <v>237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4"/>
    </row>
    <row r="17" spans="2:27" x14ac:dyDescent="0.25">
      <c r="B17" s="52"/>
      <c r="C17" s="53"/>
      <c r="D17" s="144" t="s">
        <v>598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 t="s">
        <v>237</v>
      </c>
      <c r="R17" s="55"/>
      <c r="S17" s="55"/>
      <c r="T17" s="55"/>
      <c r="U17" s="55"/>
      <c r="V17" s="55"/>
      <c r="W17" s="55"/>
      <c r="X17" s="55"/>
      <c r="Y17" s="55"/>
      <c r="Z17" s="55"/>
      <c r="AA17" s="54"/>
    </row>
    <row r="18" spans="2:27" x14ac:dyDescent="0.25">
      <c r="B18" s="52"/>
      <c r="C18" s="53"/>
      <c r="D18" s="144" t="s">
        <v>582</v>
      </c>
      <c r="E18" s="55"/>
      <c r="F18" s="55" t="s">
        <v>237</v>
      </c>
      <c r="G18" s="55"/>
      <c r="H18" s="55"/>
      <c r="I18" s="55"/>
      <c r="J18" s="55" t="s">
        <v>237</v>
      </c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4"/>
    </row>
    <row r="19" spans="2:27" ht="26.25" customHeight="1" x14ac:dyDescent="0.25">
      <c r="B19" s="52"/>
      <c r="C19" s="53"/>
      <c r="D19" s="144" t="s">
        <v>591</v>
      </c>
      <c r="E19" s="55"/>
      <c r="F19" s="55"/>
      <c r="G19" s="55"/>
      <c r="H19" s="55"/>
      <c r="I19" s="55"/>
      <c r="J19" s="55"/>
      <c r="K19" s="55"/>
      <c r="L19" s="55" t="s">
        <v>237</v>
      </c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4"/>
    </row>
    <row r="20" spans="2:27" x14ac:dyDescent="0.25">
      <c r="B20" s="52">
        <v>11</v>
      </c>
      <c r="C20" s="53"/>
      <c r="D20" s="144" t="s">
        <v>246</v>
      </c>
      <c r="E20" s="55"/>
      <c r="F20" s="55"/>
      <c r="G20" s="55"/>
      <c r="H20" s="55"/>
      <c r="I20" s="55"/>
      <c r="J20" s="55"/>
      <c r="K20" s="55"/>
      <c r="L20" s="55"/>
      <c r="M20" s="55" t="s">
        <v>237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4"/>
    </row>
    <row r="21" spans="2:27" x14ac:dyDescent="0.25">
      <c r="B21" s="52">
        <v>12</v>
      </c>
      <c r="C21" s="53"/>
      <c r="D21" s="144" t="s">
        <v>247</v>
      </c>
      <c r="E21" s="55" t="s">
        <v>237</v>
      </c>
      <c r="F21" s="55" t="s">
        <v>237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4"/>
    </row>
    <row r="22" spans="2:27" ht="22.5" x14ac:dyDescent="0.25">
      <c r="B22" s="52">
        <v>13</v>
      </c>
      <c r="C22" s="53"/>
      <c r="D22" s="144" t="s">
        <v>248</v>
      </c>
      <c r="E22" s="55" t="s">
        <v>237</v>
      </c>
      <c r="F22" s="55" t="s">
        <v>237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 t="s">
        <v>237</v>
      </c>
      <c r="R22" s="55"/>
      <c r="S22" s="55"/>
      <c r="T22" s="55"/>
      <c r="U22" s="55"/>
      <c r="V22" s="55"/>
      <c r="W22" s="55"/>
      <c r="X22" s="55"/>
      <c r="Y22" s="55"/>
      <c r="Z22" s="55"/>
      <c r="AA22" s="54"/>
    </row>
    <row r="23" spans="2:27" ht="22.5" x14ac:dyDescent="0.25">
      <c r="B23" s="52">
        <v>14</v>
      </c>
      <c r="C23" s="53"/>
      <c r="D23" s="144" t="s">
        <v>249</v>
      </c>
      <c r="E23" s="55" t="s">
        <v>237</v>
      </c>
      <c r="F23" s="55" t="s">
        <v>237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 t="s">
        <v>237</v>
      </c>
      <c r="R23" s="55"/>
      <c r="S23" s="55"/>
      <c r="T23" s="55"/>
      <c r="U23" s="55"/>
      <c r="V23" s="55"/>
      <c r="W23" s="55"/>
      <c r="X23" s="55"/>
      <c r="Y23" s="55"/>
      <c r="Z23" s="55"/>
      <c r="AA23" s="54"/>
    </row>
    <row r="24" spans="2:27" ht="26.25" customHeight="1" x14ac:dyDescent="0.25">
      <c r="B24" s="52">
        <v>15</v>
      </c>
      <c r="C24" s="53"/>
      <c r="D24" s="144" t="s">
        <v>250</v>
      </c>
      <c r="E24" s="55" t="s">
        <v>237</v>
      </c>
      <c r="F24" s="55" t="s">
        <v>237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 t="s">
        <v>237</v>
      </c>
      <c r="R24" s="55"/>
      <c r="S24" s="55"/>
      <c r="T24" s="55"/>
      <c r="U24" s="55"/>
      <c r="V24" s="55"/>
      <c r="W24" s="55"/>
      <c r="X24" s="55"/>
      <c r="Y24" s="55"/>
      <c r="Z24" s="55"/>
      <c r="AA24" s="54"/>
    </row>
    <row r="25" spans="2:27" ht="26.25" customHeight="1" x14ac:dyDescent="0.25">
      <c r="B25" s="52"/>
      <c r="C25" s="53"/>
      <c r="D25" s="144" t="s">
        <v>456</v>
      </c>
      <c r="E25" s="55" t="s">
        <v>237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4"/>
    </row>
    <row r="26" spans="2:27" ht="18" customHeight="1" x14ac:dyDescent="0.25">
      <c r="B26" s="52"/>
      <c r="C26" s="53"/>
      <c r="D26" s="144" t="s">
        <v>597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 t="s">
        <v>237</v>
      </c>
      <c r="R26" s="55"/>
      <c r="S26" s="55"/>
      <c r="T26" s="55"/>
      <c r="U26" s="55"/>
      <c r="V26" s="55"/>
      <c r="W26" s="55"/>
      <c r="X26" s="55"/>
      <c r="Y26" s="55"/>
      <c r="Z26" s="55"/>
      <c r="AA26" s="54"/>
    </row>
    <row r="27" spans="2:27" x14ac:dyDescent="0.25">
      <c r="B27" s="52">
        <v>16</v>
      </c>
      <c r="C27" s="53"/>
      <c r="D27" s="144" t="s">
        <v>251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4"/>
    </row>
    <row r="28" spans="2:27" x14ac:dyDescent="0.25">
      <c r="B28" s="52">
        <v>17</v>
      </c>
      <c r="C28" s="53"/>
      <c r="D28" s="144" t="s">
        <v>252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4"/>
    </row>
    <row r="29" spans="2:27" x14ac:dyDescent="0.25">
      <c r="B29" s="52"/>
      <c r="C29" s="53"/>
      <c r="D29" s="144" t="s">
        <v>228</v>
      </c>
      <c r="E29" s="55"/>
      <c r="F29" s="55"/>
      <c r="G29" s="55"/>
      <c r="H29" s="55"/>
      <c r="I29" s="55"/>
      <c r="J29" s="55" t="s">
        <v>237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4"/>
    </row>
    <row r="30" spans="2:27" x14ac:dyDescent="0.25">
      <c r="B30" s="52"/>
      <c r="C30" s="53"/>
      <c r="D30" s="144" t="s">
        <v>253</v>
      </c>
      <c r="E30" s="55"/>
      <c r="F30" s="55"/>
      <c r="G30" s="55"/>
      <c r="H30" s="55"/>
      <c r="I30" s="55"/>
      <c r="J30" s="55" t="s">
        <v>237</v>
      </c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4"/>
    </row>
    <row r="31" spans="2:27" x14ac:dyDescent="0.25">
      <c r="B31" s="52"/>
      <c r="C31" s="53"/>
      <c r="D31" s="144" t="s">
        <v>229</v>
      </c>
      <c r="E31" s="55"/>
      <c r="F31" s="55"/>
      <c r="G31" s="55"/>
      <c r="H31" s="55"/>
      <c r="I31" s="55"/>
      <c r="J31" s="55" t="s">
        <v>237</v>
      </c>
      <c r="K31" s="55"/>
      <c r="L31" s="55"/>
      <c r="M31" s="55"/>
      <c r="N31" s="55" t="s">
        <v>237</v>
      </c>
      <c r="O31" s="55"/>
      <c r="P31" s="55"/>
      <c r="Q31" s="55" t="s">
        <v>237</v>
      </c>
      <c r="R31" s="55"/>
      <c r="S31" s="55"/>
      <c r="T31" s="55"/>
      <c r="U31" s="55"/>
      <c r="V31" s="55"/>
      <c r="W31" s="55"/>
      <c r="X31" s="55"/>
      <c r="Y31" s="55"/>
      <c r="Z31" s="55"/>
      <c r="AA31" s="54"/>
    </row>
    <row r="32" spans="2:27" x14ac:dyDescent="0.25">
      <c r="B32" s="52">
        <v>18</v>
      </c>
      <c r="C32" s="53"/>
      <c r="D32" s="144" t="s">
        <v>254</v>
      </c>
      <c r="E32" s="55"/>
      <c r="F32" s="55"/>
      <c r="G32" s="55"/>
      <c r="H32" s="55"/>
      <c r="I32" s="55"/>
      <c r="J32" s="55" t="s">
        <v>237</v>
      </c>
      <c r="K32" s="55" t="s">
        <v>237</v>
      </c>
      <c r="L32" s="55"/>
      <c r="M32" s="55" t="s">
        <v>237</v>
      </c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4"/>
    </row>
    <row r="33" spans="2:27" x14ac:dyDescent="0.25">
      <c r="B33" s="52">
        <v>19</v>
      </c>
      <c r="C33" s="53"/>
      <c r="D33" s="144" t="s">
        <v>255</v>
      </c>
      <c r="E33" s="55"/>
      <c r="F33" s="55"/>
      <c r="G33" s="55"/>
      <c r="H33" s="55"/>
      <c r="I33" s="55"/>
      <c r="J33" s="55"/>
      <c r="K33" s="55"/>
      <c r="L33" s="55"/>
      <c r="M33" s="55" t="s">
        <v>237</v>
      </c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4"/>
    </row>
    <row r="34" spans="2:27" ht="33.75" x14ac:dyDescent="0.25">
      <c r="B34" s="52">
        <v>20</v>
      </c>
      <c r="C34" s="53"/>
      <c r="D34" s="144" t="s">
        <v>256</v>
      </c>
      <c r="E34" s="55"/>
      <c r="F34" s="55"/>
      <c r="G34" s="55" t="s">
        <v>237</v>
      </c>
      <c r="H34" s="55"/>
      <c r="I34" s="55"/>
      <c r="J34" s="55"/>
      <c r="K34" s="55"/>
      <c r="L34" s="55"/>
      <c r="M34" s="55" t="s">
        <v>237</v>
      </c>
      <c r="N34" s="55" t="s">
        <v>237</v>
      </c>
      <c r="O34" s="55"/>
      <c r="P34" s="55" t="s">
        <v>237</v>
      </c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4"/>
    </row>
    <row r="35" spans="2:27" x14ac:dyDescent="0.25">
      <c r="B35" s="52">
        <v>21</v>
      </c>
      <c r="C35" s="53"/>
      <c r="D35" s="144" t="s">
        <v>257</v>
      </c>
      <c r="E35" s="55"/>
      <c r="F35" s="55"/>
      <c r="G35" s="55" t="s">
        <v>237</v>
      </c>
      <c r="H35" s="55"/>
      <c r="I35" s="55"/>
      <c r="J35" s="55"/>
      <c r="K35" s="55"/>
      <c r="L35" s="55"/>
      <c r="M35" s="55"/>
      <c r="N35" s="55"/>
      <c r="O35" s="55"/>
      <c r="P35" s="55" t="s">
        <v>237</v>
      </c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4"/>
    </row>
    <row r="36" spans="2:27" x14ac:dyDescent="0.25">
      <c r="B36" s="52">
        <v>22</v>
      </c>
      <c r="C36" s="53"/>
      <c r="D36" s="144" t="s">
        <v>258</v>
      </c>
      <c r="E36" s="55"/>
      <c r="F36" s="55"/>
      <c r="G36" s="55"/>
      <c r="H36" s="55"/>
      <c r="I36" s="55"/>
      <c r="J36" s="55" t="s">
        <v>237</v>
      </c>
      <c r="K36" s="55"/>
      <c r="L36" s="55" t="s">
        <v>237</v>
      </c>
      <c r="M36" s="55" t="s">
        <v>237</v>
      </c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4"/>
    </row>
    <row r="37" spans="2:27" ht="22.5" x14ac:dyDescent="0.25">
      <c r="B37" s="52">
        <v>23</v>
      </c>
      <c r="C37" s="53"/>
      <c r="D37" s="144" t="s">
        <v>259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 t="s">
        <v>237</v>
      </c>
      <c r="P37" s="55" t="s">
        <v>237</v>
      </c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4"/>
    </row>
    <row r="38" spans="2:27" ht="22.5" x14ac:dyDescent="0.25">
      <c r="B38" s="52">
        <v>24</v>
      </c>
      <c r="C38" s="53"/>
      <c r="D38" s="144" t="s">
        <v>260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 t="s">
        <v>237</v>
      </c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4"/>
    </row>
    <row r="39" spans="2:27" ht="22.5" x14ac:dyDescent="0.25">
      <c r="B39" s="52">
        <v>25</v>
      </c>
      <c r="C39" s="53"/>
      <c r="D39" s="144" t="s">
        <v>261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4"/>
    </row>
    <row r="40" spans="2:27" ht="22.5" x14ac:dyDescent="0.25">
      <c r="B40" s="52">
        <v>25</v>
      </c>
      <c r="C40" s="53"/>
      <c r="D40" s="144" t="s">
        <v>583</v>
      </c>
      <c r="E40" s="55"/>
      <c r="F40" s="55" t="s">
        <v>237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4"/>
    </row>
  </sheetData>
  <mergeCells count="26">
    <mergeCell ref="B2:B3"/>
    <mergeCell ref="C2:C3"/>
    <mergeCell ref="D2:D3"/>
    <mergeCell ref="E2:E3"/>
    <mergeCell ref="F2:F3"/>
    <mergeCell ref="S2:S3"/>
    <mergeCell ref="T2:T3"/>
    <mergeCell ref="U2:U3"/>
    <mergeCell ref="V2:V3"/>
    <mergeCell ref="G2:G3"/>
    <mergeCell ref="AA2:AA3"/>
    <mergeCell ref="Y2:Y3"/>
    <mergeCell ref="Z2:Z3"/>
    <mergeCell ref="H2:H3"/>
    <mergeCell ref="I2:I3"/>
    <mergeCell ref="J2:J3"/>
    <mergeCell ref="K2:K3"/>
    <mergeCell ref="L2:L3"/>
    <mergeCell ref="M2:M3"/>
    <mergeCell ref="W2:W3"/>
    <mergeCell ref="X2:X3"/>
    <mergeCell ref="N2:N3"/>
    <mergeCell ref="O2:O3"/>
    <mergeCell ref="P2:P3"/>
    <mergeCell ref="Q2:Q3"/>
    <mergeCell ref="R2:R3"/>
  </mergeCells>
  <pageMargins left="0.23622047244094491" right="0.23622047244094491" top="0.74803149606299213" bottom="0.74803149606299213" header="0.31496062992125984" footer="0.31496062992125984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Y19"/>
  <sheetViews>
    <sheetView topLeftCell="F4" zoomScale="70" zoomScaleNormal="70" workbookViewId="0">
      <selection activeCell="N14" sqref="N14"/>
    </sheetView>
  </sheetViews>
  <sheetFormatPr baseColWidth="10" defaultRowHeight="15" x14ac:dyDescent="0.25"/>
  <cols>
    <col min="1" max="1" width="21.42578125" style="29" customWidth="1"/>
    <col min="2" max="2" width="29.140625" style="29" customWidth="1"/>
    <col min="3" max="3" width="38.7109375" style="29" customWidth="1"/>
    <col min="4" max="4" width="31" style="29" customWidth="1"/>
    <col min="5" max="5" width="20.7109375" style="29" customWidth="1"/>
    <col min="6" max="6" width="14.42578125" style="38" customWidth="1"/>
    <col min="7" max="7" width="16.85546875" style="29" customWidth="1"/>
    <col min="8" max="8" width="23.42578125" style="29" customWidth="1"/>
    <col min="9" max="11" width="16.5703125" style="29" customWidth="1"/>
    <col min="12" max="12" width="19.42578125" style="29" customWidth="1"/>
    <col min="13" max="13" width="19.42578125" style="57" customWidth="1"/>
    <col min="14" max="14" width="19.42578125" style="29" customWidth="1"/>
    <col min="15" max="15" width="22" style="29" customWidth="1"/>
    <col min="16" max="16" width="18.140625" style="29" customWidth="1"/>
    <col min="17" max="17" width="20.42578125" style="29" customWidth="1"/>
    <col min="18" max="19" width="19.28515625" style="29" customWidth="1"/>
    <col min="20" max="20" width="35.5703125" customWidth="1"/>
    <col min="21" max="21" width="26.42578125" customWidth="1"/>
    <col min="22" max="22" width="22.140625" style="29" customWidth="1"/>
    <col min="23" max="23" width="19.42578125" style="148" hidden="1" customWidth="1"/>
    <col min="24" max="24" width="19.42578125" style="68" hidden="1" customWidth="1"/>
    <col min="25" max="25" width="17.85546875" style="68" hidden="1" customWidth="1"/>
    <col min="26" max="26" width="18.140625" style="68" hidden="1" customWidth="1"/>
    <col min="27" max="27" width="20.42578125" style="68" hidden="1" customWidth="1"/>
    <col min="28" max="29" width="19.28515625" style="68" hidden="1" customWidth="1"/>
    <col min="30" max="30" width="35.5703125" hidden="1" customWidth="1"/>
    <col min="31" max="31" width="26.42578125" hidden="1" customWidth="1"/>
    <col min="32" max="32" width="22.140625" style="68" hidden="1" customWidth="1"/>
    <col min="33" max="33" width="19.42578125" style="148" hidden="1" customWidth="1"/>
    <col min="34" max="34" width="19.42578125" style="68" hidden="1" customWidth="1"/>
    <col min="35" max="35" width="17.85546875" style="68" hidden="1" customWidth="1"/>
    <col min="36" max="36" width="18.140625" style="68" hidden="1" customWidth="1"/>
    <col min="37" max="37" width="20.42578125" style="68" hidden="1" customWidth="1"/>
    <col min="38" max="39" width="19.28515625" style="68" hidden="1" customWidth="1"/>
    <col min="40" max="40" width="35.5703125" hidden="1" customWidth="1"/>
    <col min="41" max="41" width="26.42578125" hidden="1" customWidth="1"/>
    <col min="42" max="42" width="22.140625" style="68" hidden="1" customWidth="1"/>
    <col min="43" max="43" width="17.7109375" style="68" customWidth="1"/>
    <col min="44" max="44" width="17.85546875" style="68" customWidth="1"/>
    <col min="45" max="45" width="19.140625" style="68" customWidth="1"/>
    <col min="46" max="46" width="18.7109375" style="68" customWidth="1"/>
    <col min="47" max="47" width="21" style="68" customWidth="1"/>
    <col min="48" max="48" width="26.5703125" style="29" customWidth="1"/>
    <col min="49" max="49" width="24.5703125" style="29" customWidth="1"/>
    <col min="50" max="50" width="28.140625" style="29" customWidth="1"/>
    <col min="51" max="51" width="27.85546875" style="29" customWidth="1"/>
    <col min="52" max="52" width="11.42578125" style="29"/>
    <col min="53" max="53" width="11.42578125" style="29" customWidth="1"/>
    <col min="54" max="16384" width="11.42578125" style="29"/>
  </cols>
  <sheetData>
    <row r="1" spans="1:51" ht="75.75" customHeight="1" x14ac:dyDescent="0.2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96"/>
      <c r="AX1" s="496"/>
      <c r="AY1" s="496"/>
    </row>
    <row r="2" spans="1:51" ht="41.25" customHeight="1" x14ac:dyDescent="0.2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96"/>
      <c r="AX2" s="496"/>
      <c r="AY2" s="496"/>
    </row>
    <row r="3" spans="1:51" ht="41.25" customHeight="1" x14ac:dyDescent="0.2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  <c r="AV3" s="472"/>
      <c r="AW3" s="497" t="s">
        <v>695</v>
      </c>
      <c r="AX3" s="497"/>
      <c r="AY3" s="497"/>
    </row>
    <row r="4" spans="1:51" ht="32.25" customHeight="1" thickBot="1" x14ac:dyDescent="0.25">
      <c r="A4" s="481" t="s">
        <v>193</v>
      </c>
      <c r="B4" s="481"/>
      <c r="C4" s="481"/>
      <c r="D4" s="481"/>
      <c r="M4" s="500" t="s">
        <v>625</v>
      </c>
      <c r="N4" s="500"/>
      <c r="O4" s="500"/>
      <c r="P4" s="500"/>
      <c r="Q4" s="500"/>
      <c r="R4" s="500"/>
      <c r="S4" s="500"/>
      <c r="T4" s="29"/>
      <c r="U4" s="29"/>
      <c r="AD4" s="29"/>
      <c r="AE4" s="29"/>
      <c r="AN4" s="29"/>
      <c r="AO4" s="29"/>
    </row>
    <row r="5" spans="1:51" ht="57" customHeight="1" x14ac:dyDescent="0.2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205" t="s">
        <v>446</v>
      </c>
      <c r="N5" s="221" t="s">
        <v>231</v>
      </c>
      <c r="O5" s="221" t="s">
        <v>232</v>
      </c>
      <c r="P5" s="221" t="s">
        <v>223</v>
      </c>
      <c r="Q5" s="221" t="s">
        <v>224</v>
      </c>
      <c r="R5" s="221" t="s">
        <v>289</v>
      </c>
      <c r="S5" s="221" t="s">
        <v>456</v>
      </c>
      <c r="T5" s="494" t="s">
        <v>447</v>
      </c>
      <c r="U5" s="494" t="s">
        <v>448</v>
      </c>
      <c r="V5" s="485" t="s">
        <v>540</v>
      </c>
      <c r="W5" s="205" t="s">
        <v>446</v>
      </c>
      <c r="X5" s="221" t="s">
        <v>231</v>
      </c>
      <c r="Y5" s="221" t="s">
        <v>232</v>
      </c>
      <c r="Z5" s="221" t="s">
        <v>223</v>
      </c>
      <c r="AA5" s="221" t="s">
        <v>224</v>
      </c>
      <c r="AB5" s="221" t="s">
        <v>289</v>
      </c>
      <c r="AC5" s="221" t="s">
        <v>456</v>
      </c>
      <c r="AD5" s="494" t="s">
        <v>447</v>
      </c>
      <c r="AE5" s="494" t="s">
        <v>448</v>
      </c>
      <c r="AF5" s="485" t="s">
        <v>543</v>
      </c>
      <c r="AG5" s="205" t="s">
        <v>446</v>
      </c>
      <c r="AH5" s="221" t="s">
        <v>231</v>
      </c>
      <c r="AI5" s="221" t="s">
        <v>232</v>
      </c>
      <c r="AJ5" s="221" t="s">
        <v>223</v>
      </c>
      <c r="AK5" s="221" t="s">
        <v>224</v>
      </c>
      <c r="AL5" s="221" t="s">
        <v>289</v>
      </c>
      <c r="AM5" s="221" t="s">
        <v>456</v>
      </c>
      <c r="AN5" s="494" t="s">
        <v>447</v>
      </c>
      <c r="AO5" s="494" t="s">
        <v>448</v>
      </c>
      <c r="AP5" s="485" t="s">
        <v>544</v>
      </c>
      <c r="AQ5" s="489" t="s">
        <v>11</v>
      </c>
      <c r="AR5" s="490"/>
      <c r="AS5" s="490"/>
      <c r="AT5" s="490"/>
      <c r="AU5" s="491"/>
      <c r="AV5" s="478" t="s">
        <v>617</v>
      </c>
      <c r="AW5" s="479"/>
      <c r="AX5" s="479"/>
      <c r="AY5" s="480"/>
    </row>
    <row r="6" spans="1:51" ht="63" customHeight="1" x14ac:dyDescent="0.2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4" t="s">
        <v>298</v>
      </c>
      <c r="O6" s="4" t="s">
        <v>298</v>
      </c>
      <c r="P6" s="4" t="s">
        <v>298</v>
      </c>
      <c r="Q6" s="4" t="s">
        <v>298</v>
      </c>
      <c r="R6" s="4" t="s">
        <v>298</v>
      </c>
      <c r="S6" s="4" t="s">
        <v>298</v>
      </c>
      <c r="T6" s="495"/>
      <c r="U6" s="495"/>
      <c r="V6" s="486"/>
      <c r="W6" s="173" t="s">
        <v>287</v>
      </c>
      <c r="X6" s="4" t="s">
        <v>287</v>
      </c>
      <c r="Y6" s="4" t="s">
        <v>287</v>
      </c>
      <c r="Z6" s="4" t="s">
        <v>287</v>
      </c>
      <c r="AA6" s="4" t="s">
        <v>287</v>
      </c>
      <c r="AB6" s="4" t="s">
        <v>287</v>
      </c>
      <c r="AC6" s="4" t="s">
        <v>287</v>
      </c>
      <c r="AD6" s="495"/>
      <c r="AE6" s="495"/>
      <c r="AF6" s="486"/>
      <c r="AG6" s="173" t="s">
        <v>288</v>
      </c>
      <c r="AH6" s="4" t="s">
        <v>288</v>
      </c>
      <c r="AI6" s="4" t="s">
        <v>288</v>
      </c>
      <c r="AJ6" s="4" t="s">
        <v>288</v>
      </c>
      <c r="AK6" s="4" t="s">
        <v>288</v>
      </c>
      <c r="AL6" s="4" t="s">
        <v>288</v>
      </c>
      <c r="AM6" s="4" t="s">
        <v>288</v>
      </c>
      <c r="AN6" s="495"/>
      <c r="AO6" s="495"/>
      <c r="AP6" s="486"/>
      <c r="AQ6" s="243" t="s">
        <v>198</v>
      </c>
      <c r="AR6" s="149" t="s">
        <v>199</v>
      </c>
      <c r="AS6" s="149" t="s">
        <v>200</v>
      </c>
      <c r="AT6" s="149" t="s">
        <v>201</v>
      </c>
      <c r="AU6" s="244" t="s">
        <v>20</v>
      </c>
      <c r="AV6" s="187" t="s">
        <v>202</v>
      </c>
      <c r="AW6" s="33" t="s">
        <v>203</v>
      </c>
      <c r="AX6" s="33" t="s">
        <v>204</v>
      </c>
      <c r="AY6" s="188" t="s">
        <v>205</v>
      </c>
    </row>
    <row r="7" spans="1:51" s="37" customFormat="1" ht="91.5" customHeight="1" x14ac:dyDescent="0.25">
      <c r="A7" s="508" t="s">
        <v>206</v>
      </c>
      <c r="B7" s="505" t="s">
        <v>207</v>
      </c>
      <c r="C7" s="505" t="s">
        <v>208</v>
      </c>
      <c r="D7" s="505" t="s">
        <v>209</v>
      </c>
      <c r="E7" s="505" t="s">
        <v>210</v>
      </c>
      <c r="F7" s="475">
        <v>0.4</v>
      </c>
      <c r="G7" s="64" t="s">
        <v>460</v>
      </c>
      <c r="H7" s="58" t="s">
        <v>26</v>
      </c>
      <c r="I7" s="6">
        <v>0.9</v>
      </c>
      <c r="J7" s="6" t="s">
        <v>546</v>
      </c>
      <c r="K7" s="6"/>
      <c r="L7" s="511" t="s">
        <v>27</v>
      </c>
      <c r="M7" s="174" t="s">
        <v>100</v>
      </c>
      <c r="N7" s="59"/>
      <c r="O7" s="59"/>
      <c r="P7" s="60"/>
      <c r="Q7" s="59"/>
      <c r="R7" s="60"/>
      <c r="S7" s="60"/>
      <c r="T7" s="67"/>
      <c r="U7" s="150"/>
      <c r="V7" s="230" t="str">
        <f>+IFERROR(AVERAGE(M7:S7),"-")</f>
        <v>-</v>
      </c>
      <c r="W7" s="174" t="s">
        <v>100</v>
      </c>
      <c r="X7" s="67"/>
      <c r="Y7" s="67"/>
      <c r="Z7" s="7"/>
      <c r="AA7" s="67"/>
      <c r="AB7" s="7"/>
      <c r="AC7" s="7"/>
      <c r="AD7" s="67"/>
      <c r="AE7" s="150"/>
      <c r="AF7" s="175" t="str">
        <f>+IFERROR(AVERAGE(W7:AC7),"-")</f>
        <v>-</v>
      </c>
      <c r="AG7" s="174" t="s">
        <v>100</v>
      </c>
      <c r="AH7" s="67"/>
      <c r="AI7" s="67"/>
      <c r="AJ7" s="7"/>
      <c r="AK7" s="67"/>
      <c r="AL7" s="7"/>
      <c r="AM7" s="7"/>
      <c r="AN7" s="67"/>
      <c r="AO7" s="150"/>
      <c r="AP7" s="175" t="str">
        <f>+IFERROR(AVERAGE(AG7:AM7),"-")</f>
        <v>-</v>
      </c>
      <c r="AQ7" s="184" t="s">
        <v>225</v>
      </c>
      <c r="AR7" s="26" t="str">
        <f>IFERROR((V7*100%)/$I$7,"-")</f>
        <v>-</v>
      </c>
      <c r="AS7" s="26" t="str">
        <f>IFERROR((AF7*100%)/$I$7,"-")</f>
        <v>-</v>
      </c>
      <c r="AT7" s="26" t="str">
        <f>IFERROR((AP7*100%)/$I$7,"-")</f>
        <v>-</v>
      </c>
      <c r="AU7" s="185" t="str">
        <f>IFERROR(AVERAGE(AQ7:AT7),"-")</f>
        <v>-</v>
      </c>
      <c r="AV7" s="189"/>
      <c r="AW7" s="35"/>
      <c r="AX7" s="36"/>
      <c r="AY7" s="190"/>
    </row>
    <row r="8" spans="1:51" ht="72.75" customHeight="1" x14ac:dyDescent="0.2">
      <c r="A8" s="509"/>
      <c r="B8" s="506"/>
      <c r="C8" s="506"/>
      <c r="D8" s="506"/>
      <c r="E8" s="506"/>
      <c r="F8" s="476"/>
      <c r="G8" s="63" t="s">
        <v>28</v>
      </c>
      <c r="H8" s="61" t="s">
        <v>29</v>
      </c>
      <c r="I8" s="6">
        <v>0.9</v>
      </c>
      <c r="J8" s="6" t="s">
        <v>546</v>
      </c>
      <c r="K8" s="6"/>
      <c r="L8" s="512"/>
      <c r="M8" s="231"/>
      <c r="N8" s="7" t="s">
        <v>100</v>
      </c>
      <c r="O8" s="7" t="s">
        <v>100</v>
      </c>
      <c r="P8" s="7" t="s">
        <v>100</v>
      </c>
      <c r="Q8" s="7" t="s">
        <v>100</v>
      </c>
      <c r="R8" s="7" t="s">
        <v>100</v>
      </c>
      <c r="S8" s="7" t="s">
        <v>100</v>
      </c>
      <c r="T8" s="155" t="s">
        <v>457</v>
      </c>
      <c r="U8" s="69"/>
      <c r="V8" s="232" t="str">
        <f>+IFERROR(AVERAGE(M8:S8),"-")</f>
        <v>-</v>
      </c>
      <c r="W8" s="174"/>
      <c r="X8" s="7" t="s">
        <v>100</v>
      </c>
      <c r="Y8" s="7" t="s">
        <v>100</v>
      </c>
      <c r="Z8" s="7" t="s">
        <v>100</v>
      </c>
      <c r="AA8" s="7" t="s">
        <v>100</v>
      </c>
      <c r="AB8" s="7" t="s">
        <v>100</v>
      </c>
      <c r="AC8" s="7" t="s">
        <v>100</v>
      </c>
      <c r="AD8" s="155" t="s">
        <v>457</v>
      </c>
      <c r="AE8" s="69"/>
      <c r="AF8" s="175" t="str">
        <f>+IFERROR(AVERAGE(W8:AC8),"-")</f>
        <v>-</v>
      </c>
      <c r="AG8" s="174"/>
      <c r="AH8" s="7" t="s">
        <v>100</v>
      </c>
      <c r="AI8" s="7" t="s">
        <v>100</v>
      </c>
      <c r="AJ8" s="7" t="s">
        <v>100</v>
      </c>
      <c r="AK8" s="7" t="s">
        <v>100</v>
      </c>
      <c r="AL8" s="7" t="s">
        <v>100</v>
      </c>
      <c r="AM8" s="7" t="s">
        <v>100</v>
      </c>
      <c r="AN8" s="155" t="s">
        <v>457</v>
      </c>
      <c r="AO8" s="69"/>
      <c r="AP8" s="175" t="str">
        <f>+IFERROR(AVERAGE(AG8:AM8),"-")</f>
        <v>-</v>
      </c>
      <c r="AQ8" s="184" t="s">
        <v>225</v>
      </c>
      <c r="AR8" s="26" t="str">
        <f>IFERROR((V8*100%)/$I$8,"-")</f>
        <v>-</v>
      </c>
      <c r="AS8" s="26" t="str">
        <f>IFERROR((AF8*100%)/$I$8,"-")</f>
        <v>-</v>
      </c>
      <c r="AT8" s="26" t="str">
        <f>IFERROR((AP8*100%)/$I$8,"-")</f>
        <v>-</v>
      </c>
      <c r="AU8" s="185" t="str">
        <f>IFERROR(AVERAGE(AQ8:AT8),"-")</f>
        <v>-</v>
      </c>
      <c r="AV8" s="191"/>
      <c r="AW8" s="30"/>
      <c r="AX8" s="28"/>
      <c r="AY8" s="192"/>
    </row>
    <row r="9" spans="1:51" ht="107.25" customHeight="1" x14ac:dyDescent="0.2">
      <c r="A9" s="509"/>
      <c r="B9" s="506"/>
      <c r="C9" s="506"/>
      <c r="D9" s="506"/>
      <c r="E9" s="506"/>
      <c r="F9" s="476"/>
      <c r="G9" s="62" t="s">
        <v>30</v>
      </c>
      <c r="H9" s="143" t="s">
        <v>31</v>
      </c>
      <c r="I9" s="6">
        <v>0.6</v>
      </c>
      <c r="J9" s="6" t="s">
        <v>546</v>
      </c>
      <c r="K9" s="6"/>
      <c r="L9" s="512"/>
      <c r="M9" s="233"/>
      <c r="N9" s="7" t="s">
        <v>100</v>
      </c>
      <c r="O9" s="7" t="s">
        <v>100</v>
      </c>
      <c r="P9" s="7" t="s">
        <v>100</v>
      </c>
      <c r="Q9" s="7" t="s">
        <v>100</v>
      </c>
      <c r="R9" s="7" t="s">
        <v>100</v>
      </c>
      <c r="S9" s="7" t="s">
        <v>100</v>
      </c>
      <c r="T9" s="153" t="s">
        <v>458</v>
      </c>
      <c r="U9" s="151"/>
      <c r="V9" s="234" t="str">
        <f>+IFERROR(AVERAGE(M9:S9),"-")</f>
        <v>-</v>
      </c>
      <c r="W9" s="174"/>
      <c r="X9" s="7" t="s">
        <v>100</v>
      </c>
      <c r="Y9" s="7" t="s">
        <v>100</v>
      </c>
      <c r="Z9" s="7" t="s">
        <v>100</v>
      </c>
      <c r="AA9" s="7" t="s">
        <v>100</v>
      </c>
      <c r="AB9" s="7" t="s">
        <v>100</v>
      </c>
      <c r="AC9" s="7" t="s">
        <v>100</v>
      </c>
      <c r="AD9" s="153" t="s">
        <v>458</v>
      </c>
      <c r="AE9" s="151"/>
      <c r="AF9" s="175" t="str">
        <f>+IFERROR(AVERAGE(W9:AC9),"-")</f>
        <v>-</v>
      </c>
      <c r="AG9" s="174"/>
      <c r="AH9" s="7" t="s">
        <v>100</v>
      </c>
      <c r="AI9" s="7" t="s">
        <v>100</v>
      </c>
      <c r="AJ9" s="7" t="s">
        <v>100</v>
      </c>
      <c r="AK9" s="7" t="s">
        <v>100</v>
      </c>
      <c r="AL9" s="7" t="s">
        <v>100</v>
      </c>
      <c r="AM9" s="7" t="s">
        <v>100</v>
      </c>
      <c r="AN9" s="153" t="s">
        <v>458</v>
      </c>
      <c r="AO9" s="151"/>
      <c r="AP9" s="175" t="str">
        <f>+IFERROR(AVERAGE(AG9:AM9),"-")</f>
        <v>-</v>
      </c>
      <c r="AQ9" s="184" t="s">
        <v>225</v>
      </c>
      <c r="AR9" s="26" t="str">
        <f>IFERROR((V9*100%)/$I$9,"-")</f>
        <v>-</v>
      </c>
      <c r="AS9" s="26" t="str">
        <f>IFERROR((AF9*100%)/$I$9,"-")</f>
        <v>-</v>
      </c>
      <c r="AT9" s="26" t="str">
        <f>IFERROR((AP9*100%)/$I$9,"-")</f>
        <v>-</v>
      </c>
      <c r="AU9" s="185" t="str">
        <f>IFERROR(AVERAGE(AQ9:AT9),"-")</f>
        <v>-</v>
      </c>
      <c r="AV9" s="191"/>
      <c r="AW9" s="30"/>
      <c r="AX9" s="28"/>
      <c r="AY9" s="220"/>
    </row>
    <row r="10" spans="1:51" ht="107.25" customHeight="1" x14ac:dyDescent="0.2">
      <c r="A10" s="509"/>
      <c r="B10" s="506"/>
      <c r="C10" s="506"/>
      <c r="D10" s="506"/>
      <c r="E10" s="506"/>
      <c r="F10" s="476"/>
      <c r="G10" s="65" t="s">
        <v>32</v>
      </c>
      <c r="H10" s="66" t="s">
        <v>33</v>
      </c>
      <c r="I10" s="6">
        <v>0.6</v>
      </c>
      <c r="J10" s="6" t="s">
        <v>546</v>
      </c>
      <c r="K10" s="6"/>
      <c r="L10" s="512"/>
      <c r="M10" s="235"/>
      <c r="N10" s="7"/>
      <c r="O10" s="7"/>
      <c r="P10" s="7"/>
      <c r="Q10" s="7"/>
      <c r="R10" s="7"/>
      <c r="S10" s="7"/>
      <c r="T10" s="153"/>
      <c r="U10" s="151"/>
      <c r="V10" s="236" t="str">
        <f>+IFERROR(AVERAGE(M10:S10),"-")</f>
        <v>-</v>
      </c>
      <c r="W10" s="174"/>
      <c r="X10" s="7"/>
      <c r="Y10" s="7"/>
      <c r="Z10" s="7"/>
      <c r="AA10" s="7"/>
      <c r="AB10" s="7"/>
      <c r="AC10" s="7"/>
      <c r="AD10" s="153"/>
      <c r="AE10" s="151"/>
      <c r="AF10" s="175" t="str">
        <f>+IFERROR(AVERAGE(W10:AC10),"-")</f>
        <v>-</v>
      </c>
      <c r="AG10" s="174"/>
      <c r="AH10" s="7"/>
      <c r="AI10" s="7"/>
      <c r="AJ10" s="7"/>
      <c r="AK10" s="7"/>
      <c r="AL10" s="7"/>
      <c r="AM10" s="7"/>
      <c r="AN10" s="153"/>
      <c r="AO10" s="151"/>
      <c r="AP10" s="175" t="str">
        <f>+IFERROR(AVERAGE(AG10:AM10),"-")</f>
        <v>-</v>
      </c>
      <c r="AQ10" s="184" t="s">
        <v>225</v>
      </c>
      <c r="AR10" s="26" t="str">
        <f>IFERROR((V10*100%)/$I$10,"-")</f>
        <v>-</v>
      </c>
      <c r="AS10" s="26" t="str">
        <f>IFERROR((AF10*100%)/$I$10,"-")</f>
        <v>-</v>
      </c>
      <c r="AT10" s="26" t="str">
        <f>IFERROR((AP10*100%)/$I$11,"-")</f>
        <v>-</v>
      </c>
      <c r="AU10" s="185" t="str">
        <f>IFERROR(AVERAGE(AQ10:AT10),"-")</f>
        <v>-</v>
      </c>
      <c r="AV10" s="191"/>
      <c r="AW10" s="30"/>
      <c r="AX10" s="28"/>
      <c r="AY10" s="220"/>
    </row>
    <row r="11" spans="1:51" ht="87.75" customHeight="1" x14ac:dyDescent="0.25">
      <c r="A11" s="510"/>
      <c r="B11" s="507"/>
      <c r="C11" s="507"/>
      <c r="D11" s="507"/>
      <c r="E11" s="507"/>
      <c r="F11" s="477"/>
      <c r="G11" s="514" t="s">
        <v>648</v>
      </c>
      <c r="H11" s="515"/>
      <c r="I11" s="515"/>
      <c r="J11" s="515"/>
      <c r="K11" s="516"/>
      <c r="L11" s="513"/>
      <c r="M11" s="174"/>
      <c r="N11" s="7"/>
      <c r="O11" s="7"/>
      <c r="P11" s="7"/>
      <c r="Q11" s="7"/>
      <c r="R11" s="7"/>
      <c r="S11" s="7"/>
      <c r="T11" s="154"/>
      <c r="U11" s="152"/>
      <c r="V11" s="236"/>
      <c r="W11" s="174"/>
      <c r="X11" s="7" t="s">
        <v>100</v>
      </c>
      <c r="Y11" s="7" t="s">
        <v>100</v>
      </c>
      <c r="Z11" s="7" t="s">
        <v>100</v>
      </c>
      <c r="AA11" s="7" t="s">
        <v>100</v>
      </c>
      <c r="AB11" s="7" t="s">
        <v>100</v>
      </c>
      <c r="AC11" s="7" t="s">
        <v>100</v>
      </c>
      <c r="AD11" s="154" t="s">
        <v>459</v>
      </c>
      <c r="AE11" s="152"/>
      <c r="AF11" s="175" t="str">
        <f>+IFERROR(AVERAGE(W11:AC11),"-")</f>
        <v>-</v>
      </c>
      <c r="AG11" s="174"/>
      <c r="AH11" s="7" t="s">
        <v>100</v>
      </c>
      <c r="AI11" s="7" t="s">
        <v>100</v>
      </c>
      <c r="AJ11" s="7" t="s">
        <v>100</v>
      </c>
      <c r="AK11" s="7" t="s">
        <v>100</v>
      </c>
      <c r="AL11" s="7" t="s">
        <v>100</v>
      </c>
      <c r="AM11" s="7" t="s">
        <v>100</v>
      </c>
      <c r="AN11" s="154" t="s">
        <v>459</v>
      </c>
      <c r="AO11" s="152"/>
      <c r="AP11" s="175" t="str">
        <f>+IFERROR(AVERAGE(AG11:AM11),"-")</f>
        <v>-</v>
      </c>
      <c r="AQ11" s="184" t="s">
        <v>225</v>
      </c>
      <c r="AR11" s="26" t="str">
        <f>IFERROR((V11*100%)/$I$11,"-")</f>
        <v>-</v>
      </c>
      <c r="AS11" s="26" t="str">
        <f>IFERROR((AF11*100%)/$I$11,"-")</f>
        <v>-</v>
      </c>
      <c r="AT11" s="26" t="str">
        <f>IFERROR((AP11*100%)/$I$11,"-")</f>
        <v>-</v>
      </c>
      <c r="AU11" s="185" t="str">
        <f>IFERROR(AVERAGE(AQ11:AT11),"-")</f>
        <v>-</v>
      </c>
      <c r="AV11" s="191"/>
      <c r="AW11" s="30"/>
      <c r="AX11" s="28"/>
      <c r="AY11" s="220"/>
    </row>
    <row r="12" spans="1:51" s="68" customFormat="1" ht="45.6" customHeight="1" thickBot="1" x14ac:dyDescent="0.3">
      <c r="A12" s="501" t="s">
        <v>649</v>
      </c>
      <c r="B12" s="502"/>
      <c r="C12" s="502"/>
      <c r="D12" s="502"/>
      <c r="E12" s="502"/>
      <c r="F12" s="502"/>
      <c r="G12" s="502"/>
      <c r="H12" s="502"/>
      <c r="I12" s="502"/>
      <c r="J12" s="502"/>
      <c r="K12" s="503"/>
      <c r="L12" s="504"/>
      <c r="M12" s="198" t="str">
        <f t="shared" ref="M12:S12" si="0">IFERROR(AVERAGE(M7:M11),"-")</f>
        <v>-</v>
      </c>
      <c r="N12" s="199" t="str">
        <f t="shared" si="0"/>
        <v>-</v>
      </c>
      <c r="O12" s="199" t="str">
        <f t="shared" si="0"/>
        <v>-</v>
      </c>
      <c r="P12" s="199" t="str">
        <f t="shared" si="0"/>
        <v>-</v>
      </c>
      <c r="Q12" s="199" t="str">
        <f t="shared" si="0"/>
        <v>-</v>
      </c>
      <c r="R12" s="171" t="str">
        <f t="shared" si="0"/>
        <v>-</v>
      </c>
      <c r="S12" s="171" t="str">
        <f t="shared" si="0"/>
        <v>-</v>
      </c>
      <c r="T12" s="237"/>
      <c r="U12" s="152"/>
      <c r="V12" s="473" t="str">
        <f t="shared" ref="V12:AC12" si="1">IFERROR(AVERAGE(V7:V11),"-")</f>
        <v>-</v>
      </c>
      <c r="W12" s="198" t="str">
        <f t="shared" si="1"/>
        <v>-</v>
      </c>
      <c r="X12" s="199" t="str">
        <f t="shared" si="1"/>
        <v>-</v>
      </c>
      <c r="Y12" s="199" t="str">
        <f t="shared" si="1"/>
        <v>-</v>
      </c>
      <c r="Z12" s="199" t="str">
        <f t="shared" si="1"/>
        <v>-</v>
      </c>
      <c r="AA12" s="199" t="str">
        <f t="shared" si="1"/>
        <v>-</v>
      </c>
      <c r="AB12" s="199" t="str">
        <f t="shared" si="1"/>
        <v>-</v>
      </c>
      <c r="AC12" s="199" t="str">
        <f t="shared" si="1"/>
        <v>-</v>
      </c>
      <c r="AD12" s="237"/>
      <c r="AE12" s="152"/>
      <c r="AF12" s="473" t="str">
        <f t="shared" ref="AF12:AM12" si="2">IFERROR(AVERAGE(AF7:AF11),"-")</f>
        <v>-</v>
      </c>
      <c r="AG12" s="198" t="str">
        <f t="shared" si="2"/>
        <v>-</v>
      </c>
      <c r="AH12" s="199" t="str">
        <f t="shared" si="2"/>
        <v>-</v>
      </c>
      <c r="AI12" s="199" t="str">
        <f t="shared" si="2"/>
        <v>-</v>
      </c>
      <c r="AJ12" s="199" t="str">
        <f t="shared" si="2"/>
        <v>-</v>
      </c>
      <c r="AK12" s="199" t="str">
        <f t="shared" si="2"/>
        <v>-</v>
      </c>
      <c r="AL12" s="199" t="str">
        <f t="shared" si="2"/>
        <v>-</v>
      </c>
      <c r="AM12" s="199" t="str">
        <f t="shared" si="2"/>
        <v>-</v>
      </c>
      <c r="AN12" s="237"/>
      <c r="AO12" s="152"/>
      <c r="AP12" s="473" t="str">
        <f t="shared" ref="AP12:AU12" si="3">IFERROR(AVERAGE(AP7:AP11),"-")</f>
        <v>-</v>
      </c>
      <c r="AQ12" s="198" t="str">
        <f t="shared" si="3"/>
        <v>-</v>
      </c>
      <c r="AR12" s="199" t="str">
        <f t="shared" si="3"/>
        <v>-</v>
      </c>
      <c r="AS12" s="199" t="str">
        <f t="shared" si="3"/>
        <v>-</v>
      </c>
      <c r="AT12" s="69" t="str">
        <f t="shared" si="3"/>
        <v>-</v>
      </c>
      <c r="AU12" s="498" t="str">
        <f t="shared" si="3"/>
        <v>-</v>
      </c>
      <c r="AV12" s="193"/>
      <c r="AW12" s="194"/>
      <c r="AX12" s="195"/>
      <c r="AY12" s="196"/>
    </row>
    <row r="13" spans="1:51" ht="27" thickBot="1" x14ac:dyDescent="0.3">
      <c r="M13" s="224"/>
      <c r="N13" s="201"/>
      <c r="O13" s="201"/>
      <c r="P13" s="201"/>
      <c r="Q13" s="201"/>
      <c r="R13" s="201"/>
      <c r="S13" s="238"/>
      <c r="T13" s="207"/>
      <c r="U13" s="214" t="s">
        <v>295</v>
      </c>
      <c r="V13" s="474"/>
      <c r="W13" s="240"/>
      <c r="X13" s="241"/>
      <c r="Y13" s="241"/>
      <c r="Z13" s="241"/>
      <c r="AA13" s="241"/>
      <c r="AB13" s="241"/>
      <c r="AC13" s="241"/>
      <c r="AD13" s="208"/>
      <c r="AE13" s="242" t="s">
        <v>296</v>
      </c>
      <c r="AF13" s="474"/>
      <c r="AG13" s="240"/>
      <c r="AH13" s="241"/>
      <c r="AI13" s="241"/>
      <c r="AJ13" s="241"/>
      <c r="AK13" s="241"/>
      <c r="AL13" s="241"/>
      <c r="AM13" s="241"/>
      <c r="AN13" s="207"/>
      <c r="AO13" s="239" t="s">
        <v>297</v>
      </c>
      <c r="AP13" s="474"/>
      <c r="AQ13" s="246"/>
      <c r="AR13" s="241"/>
      <c r="AS13" s="247"/>
      <c r="AT13" s="245" t="s">
        <v>294</v>
      </c>
      <c r="AU13" s="499"/>
    </row>
    <row r="14" spans="1:51" ht="30" x14ac:dyDescent="0.25">
      <c r="G14" s="520" t="s">
        <v>24</v>
      </c>
      <c r="H14" s="517" t="s">
        <v>647</v>
      </c>
      <c r="I14" s="517"/>
      <c r="J14" s="517"/>
      <c r="K14" s="517"/>
      <c r="L14" s="517"/>
      <c r="M14" s="314" t="s">
        <v>638</v>
      </c>
      <c r="N14" s="315" t="s">
        <v>645</v>
      </c>
      <c r="O14" s="316" t="s">
        <v>643</v>
      </c>
      <c r="P14" s="316" t="s">
        <v>644</v>
      </c>
      <c r="Q14" s="317" t="s">
        <v>642</v>
      </c>
    </row>
    <row r="15" spans="1:51" x14ac:dyDescent="0.25">
      <c r="G15" s="520"/>
      <c r="H15" s="521" t="s">
        <v>460</v>
      </c>
      <c r="I15" s="522"/>
      <c r="J15" s="522"/>
      <c r="K15" s="522"/>
      <c r="L15" s="523"/>
      <c r="M15" s="319">
        <v>0.9</v>
      </c>
      <c r="N15" s="518">
        <v>0.4</v>
      </c>
      <c r="O15" s="319" t="str">
        <f>+V7</f>
        <v>-</v>
      </c>
      <c r="P15" s="319" t="str">
        <f>IFERROR((O15*100%)/M15,"-")</f>
        <v>-</v>
      </c>
      <c r="Q15" s="519" t="str">
        <f>IFERROR(+O19,"-")</f>
        <v>-</v>
      </c>
    </row>
    <row r="16" spans="1:51" x14ac:dyDescent="0.25">
      <c r="G16" s="520"/>
      <c r="H16" s="521" t="s">
        <v>28</v>
      </c>
      <c r="I16" s="522"/>
      <c r="J16" s="522"/>
      <c r="K16" s="522"/>
      <c r="L16" s="523"/>
      <c r="M16" s="319">
        <v>0.9</v>
      </c>
      <c r="N16" s="518"/>
      <c r="O16" s="319" t="str">
        <f>+V8</f>
        <v>-</v>
      </c>
      <c r="P16" s="319" t="str">
        <f>IFERROR((O16*100%)/M16,"-")</f>
        <v>-</v>
      </c>
      <c r="Q16" s="519"/>
    </row>
    <row r="17" spans="7:17" x14ac:dyDescent="0.25">
      <c r="G17" s="520"/>
      <c r="H17" s="521" t="s">
        <v>30</v>
      </c>
      <c r="I17" s="522"/>
      <c r="J17" s="522"/>
      <c r="K17" s="522"/>
      <c r="L17" s="523"/>
      <c r="M17" s="319">
        <v>0.6</v>
      </c>
      <c r="N17" s="518"/>
      <c r="O17" s="319" t="str">
        <f>+V9</f>
        <v>-</v>
      </c>
      <c r="P17" s="319" t="str">
        <f>IFERROR((O17*100%)/M17,"-")</f>
        <v>-</v>
      </c>
      <c r="Q17" s="519"/>
    </row>
    <row r="18" spans="7:17" x14ac:dyDescent="0.25">
      <c r="G18" s="520"/>
      <c r="H18" s="521" t="s">
        <v>32</v>
      </c>
      <c r="I18" s="522"/>
      <c r="J18" s="522"/>
      <c r="K18" s="522"/>
      <c r="L18" s="523"/>
      <c r="M18" s="319">
        <v>0.6</v>
      </c>
      <c r="N18" s="518"/>
      <c r="O18" s="319" t="str">
        <f>+V10</f>
        <v>-</v>
      </c>
      <c r="P18" s="319" t="str">
        <f>IFERROR((O18*100%)/M18,"-")</f>
        <v>-</v>
      </c>
      <c r="Q18" s="519"/>
    </row>
    <row r="19" spans="7:17" x14ac:dyDescent="0.25">
      <c r="N19" s="38"/>
      <c r="O19" s="318" t="e">
        <f>+AVERAGE(O15:O18)</f>
        <v>#DIV/0!</v>
      </c>
      <c r="P19" s="311"/>
    </row>
  </sheetData>
  <mergeCells count="52">
    <mergeCell ref="H14:L14"/>
    <mergeCell ref="N15:N18"/>
    <mergeCell ref="Q15:Q18"/>
    <mergeCell ref="G14:G18"/>
    <mergeCell ref="H15:L15"/>
    <mergeCell ref="H16:L16"/>
    <mergeCell ref="H17:L17"/>
    <mergeCell ref="H18:L18"/>
    <mergeCell ref="M4:S4"/>
    <mergeCell ref="A12:L12"/>
    <mergeCell ref="D7:D11"/>
    <mergeCell ref="E7:E11"/>
    <mergeCell ref="B7:B11"/>
    <mergeCell ref="A7:A11"/>
    <mergeCell ref="C7:C11"/>
    <mergeCell ref="E5:E6"/>
    <mergeCell ref="L7:L11"/>
    <mergeCell ref="K5:K6"/>
    <mergeCell ref="G11:K11"/>
    <mergeCell ref="AW1:AY2"/>
    <mergeCell ref="AW3:AY3"/>
    <mergeCell ref="AU12:AU13"/>
    <mergeCell ref="V12:V13"/>
    <mergeCell ref="AP12:AP13"/>
    <mergeCell ref="V5:V6"/>
    <mergeCell ref="AP5:AP6"/>
    <mergeCell ref="AE5:AE6"/>
    <mergeCell ref="AN5:AN6"/>
    <mergeCell ref="AO5:AO6"/>
    <mergeCell ref="T5:T6"/>
    <mergeCell ref="U5:U6"/>
    <mergeCell ref="AD5:AD6"/>
    <mergeCell ref="G5:G6"/>
    <mergeCell ref="H5:H6"/>
    <mergeCell ref="I5:I6"/>
    <mergeCell ref="J5:J6"/>
    <mergeCell ref="A1:B1"/>
    <mergeCell ref="A2:B3"/>
    <mergeCell ref="AF12:AF13"/>
    <mergeCell ref="F7:F11"/>
    <mergeCell ref="C1:AV1"/>
    <mergeCell ref="C2:AV3"/>
    <mergeCell ref="AV5:AY5"/>
    <mergeCell ref="A4:D4"/>
    <mergeCell ref="A5:A6"/>
    <mergeCell ref="B5:B6"/>
    <mergeCell ref="C5:C6"/>
    <mergeCell ref="D5:D6"/>
    <mergeCell ref="AF5:AF6"/>
    <mergeCell ref="L5:L6"/>
    <mergeCell ref="AQ5:AU5"/>
    <mergeCell ref="F5:F6"/>
  </mergeCells>
  <conditionalFormatting sqref="AU12 AQ7:AU11">
    <cfRule type="cellIs" dxfId="74" priority="13" operator="lessThan">
      <formula>0.6</formula>
    </cfRule>
    <cfRule type="cellIs" dxfId="73" priority="14" operator="between">
      <formula>60%</formula>
      <formula>79%</formula>
    </cfRule>
    <cfRule type="cellIs" dxfId="72" priority="15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"/>
  <sheetViews>
    <sheetView topLeftCell="F4" zoomScale="70" zoomScaleNormal="70" workbookViewId="0">
      <selection activeCell="O11" sqref="O11:O18"/>
    </sheetView>
  </sheetViews>
  <sheetFormatPr baseColWidth="10" defaultRowHeight="12.75" x14ac:dyDescent="0.2"/>
  <cols>
    <col min="1" max="1" width="21.42578125" style="29" customWidth="1"/>
    <col min="2" max="2" width="29.140625" style="29" customWidth="1"/>
    <col min="3" max="3" width="38.7109375" style="29" customWidth="1"/>
    <col min="4" max="4" width="31" style="29" customWidth="1"/>
    <col min="5" max="5" width="20.7109375" style="29" customWidth="1"/>
    <col min="6" max="6" width="14.42578125" style="38" customWidth="1"/>
    <col min="7" max="7" width="16.85546875" style="29" customWidth="1"/>
    <col min="8" max="8" width="25.28515625" style="29" customWidth="1"/>
    <col min="9" max="11" width="16.5703125" style="29" customWidth="1"/>
    <col min="12" max="12" width="19.42578125" style="29" customWidth="1"/>
    <col min="13" max="13" width="19.42578125" style="57" customWidth="1"/>
    <col min="14" max="14" width="19.42578125" style="29" customWidth="1"/>
    <col min="15" max="15" width="17.85546875" style="29" customWidth="1"/>
    <col min="16" max="16" width="18.140625" style="29" customWidth="1"/>
    <col min="17" max="20" width="20.42578125" style="29" customWidth="1"/>
    <col min="21" max="21" width="27.140625" style="29" customWidth="1"/>
    <col min="22" max="22" width="20.42578125" style="29" customWidth="1"/>
    <col min="23" max="23" width="22.140625" style="29" customWidth="1"/>
    <col min="24" max="24" width="19.42578125" style="57" hidden="1" customWidth="1"/>
    <col min="25" max="25" width="19.42578125" style="29" hidden="1" customWidth="1"/>
    <col min="26" max="26" width="17.85546875" style="29" hidden="1" customWidth="1"/>
    <col min="27" max="29" width="18.140625" style="29" hidden="1" customWidth="1"/>
    <col min="30" max="30" width="20.42578125" style="29" hidden="1" customWidth="1"/>
    <col min="31" max="31" width="19.28515625" style="29" hidden="1" customWidth="1"/>
    <col min="32" max="32" width="27.140625" style="29" hidden="1" customWidth="1"/>
    <col min="33" max="33" width="20.42578125" style="29" hidden="1" customWidth="1"/>
    <col min="34" max="34" width="22.140625" style="29" hidden="1" customWidth="1"/>
    <col min="35" max="35" width="19.42578125" style="57" hidden="1" customWidth="1"/>
    <col min="36" max="36" width="19.42578125" style="29" hidden="1" customWidth="1"/>
    <col min="37" max="37" width="17.85546875" style="29" hidden="1" customWidth="1"/>
    <col min="38" max="40" width="18.140625" style="29" hidden="1" customWidth="1"/>
    <col min="41" max="41" width="20.42578125" style="29" hidden="1" customWidth="1"/>
    <col min="42" max="42" width="19.28515625" style="29" hidden="1" customWidth="1"/>
    <col min="43" max="43" width="27.140625" style="29" hidden="1" customWidth="1"/>
    <col min="44" max="44" width="20.42578125" style="29" hidden="1" customWidth="1"/>
    <col min="45" max="45" width="22.140625" style="29" hidden="1" customWidth="1"/>
    <col min="46" max="46" width="17.7109375" style="29" customWidth="1"/>
    <col min="47" max="47" width="17.85546875" style="29" customWidth="1"/>
    <col min="48" max="48" width="19.140625" style="29" customWidth="1"/>
    <col min="49" max="49" width="18.7109375" style="29" customWidth="1"/>
    <col min="50" max="50" width="21" style="29" customWidth="1"/>
    <col min="51" max="51" width="26.5703125" style="29" customWidth="1"/>
    <col min="52" max="52" width="24.5703125" style="29" customWidth="1"/>
    <col min="53" max="53" width="28.140625" style="29" customWidth="1"/>
    <col min="54" max="54" width="27.85546875" style="29" customWidth="1"/>
    <col min="55" max="55" width="11.42578125" style="29"/>
    <col min="56" max="56" width="11.42578125" style="29" customWidth="1"/>
    <col min="57" max="16384" width="11.42578125" style="29"/>
  </cols>
  <sheetData>
    <row r="1" spans="1:54" ht="75.75" customHeight="1" x14ac:dyDescent="0.2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96"/>
      <c r="BA1" s="496"/>
      <c r="BB1" s="496"/>
    </row>
    <row r="2" spans="1:54" ht="41.25" customHeight="1" x14ac:dyDescent="0.2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96"/>
      <c r="BA2" s="496"/>
      <c r="BB2" s="496"/>
    </row>
    <row r="3" spans="1:54" ht="41.25" customHeight="1" x14ac:dyDescent="0.2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97" t="s">
        <v>695</v>
      </c>
      <c r="BA3" s="497"/>
      <c r="BB3" s="497"/>
    </row>
    <row r="4" spans="1:54" ht="32.25" customHeight="1" thickBot="1" x14ac:dyDescent="0.25">
      <c r="A4" s="481" t="s">
        <v>193</v>
      </c>
      <c r="B4" s="481"/>
      <c r="C4" s="481"/>
      <c r="D4" s="481"/>
    </row>
    <row r="5" spans="1:54" ht="57" customHeight="1" x14ac:dyDescent="0.2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205" t="s">
        <v>581</v>
      </c>
      <c r="N5" s="221" t="s">
        <v>582</v>
      </c>
      <c r="O5" s="221" t="s">
        <v>231</v>
      </c>
      <c r="P5" s="221" t="s">
        <v>223</v>
      </c>
      <c r="Q5" s="221" t="s">
        <v>224</v>
      </c>
      <c r="R5" s="221" t="s">
        <v>289</v>
      </c>
      <c r="S5" s="221" t="s">
        <v>621</v>
      </c>
      <c r="T5" s="221" t="s">
        <v>301</v>
      </c>
      <c r="U5" s="494" t="s">
        <v>447</v>
      </c>
      <c r="V5" s="494" t="s">
        <v>448</v>
      </c>
      <c r="W5" s="485" t="s">
        <v>540</v>
      </c>
      <c r="X5" s="205" t="s">
        <v>247</v>
      </c>
      <c r="Y5" s="221" t="s">
        <v>245</v>
      </c>
      <c r="Z5" s="221" t="s">
        <v>231</v>
      </c>
      <c r="AA5" s="221" t="s">
        <v>223</v>
      </c>
      <c r="AB5" s="221" t="s">
        <v>224</v>
      </c>
      <c r="AC5" s="221" t="s">
        <v>289</v>
      </c>
      <c r="AD5" s="221" t="s">
        <v>300</v>
      </c>
      <c r="AE5" s="221" t="s">
        <v>301</v>
      </c>
      <c r="AF5" s="494" t="s">
        <v>447</v>
      </c>
      <c r="AG5" s="494" t="s">
        <v>448</v>
      </c>
      <c r="AH5" s="485" t="s">
        <v>543</v>
      </c>
      <c r="AI5" s="205" t="s">
        <v>247</v>
      </c>
      <c r="AJ5" s="221" t="s">
        <v>245</v>
      </c>
      <c r="AK5" s="221" t="s">
        <v>231</v>
      </c>
      <c r="AL5" s="221" t="s">
        <v>223</v>
      </c>
      <c r="AM5" s="221" t="s">
        <v>224</v>
      </c>
      <c r="AN5" s="221" t="s">
        <v>289</v>
      </c>
      <c r="AO5" s="221" t="s">
        <v>300</v>
      </c>
      <c r="AP5" s="221" t="s">
        <v>301</v>
      </c>
      <c r="AQ5" s="494" t="s">
        <v>447</v>
      </c>
      <c r="AR5" s="494" t="s">
        <v>448</v>
      </c>
      <c r="AS5" s="229"/>
      <c r="AT5" s="528" t="s">
        <v>11</v>
      </c>
      <c r="AU5" s="529"/>
      <c r="AV5" s="529"/>
      <c r="AW5" s="529"/>
      <c r="AX5" s="530"/>
      <c r="AY5" s="478" t="s">
        <v>197</v>
      </c>
      <c r="AZ5" s="479"/>
      <c r="BA5" s="479"/>
      <c r="BB5" s="480"/>
    </row>
    <row r="6" spans="1:54" ht="63" customHeight="1" x14ac:dyDescent="0.2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4" t="s">
        <v>298</v>
      </c>
      <c r="O6" s="4" t="s">
        <v>298</v>
      </c>
      <c r="P6" s="4" t="s">
        <v>298</v>
      </c>
      <c r="Q6" s="4" t="s">
        <v>298</v>
      </c>
      <c r="R6" s="4" t="s">
        <v>298</v>
      </c>
      <c r="S6" s="4" t="s">
        <v>298</v>
      </c>
      <c r="T6" s="4" t="s">
        <v>298</v>
      </c>
      <c r="U6" s="495"/>
      <c r="V6" s="495"/>
      <c r="W6" s="486"/>
      <c r="X6" s="173" t="s">
        <v>287</v>
      </c>
      <c r="Y6" s="4" t="s">
        <v>287</v>
      </c>
      <c r="Z6" s="4" t="s">
        <v>287</v>
      </c>
      <c r="AA6" s="4" t="s">
        <v>287</v>
      </c>
      <c r="AB6" s="4" t="s">
        <v>287</v>
      </c>
      <c r="AC6" s="4" t="s">
        <v>287</v>
      </c>
      <c r="AD6" s="4" t="s">
        <v>287</v>
      </c>
      <c r="AE6" s="4" t="s">
        <v>287</v>
      </c>
      <c r="AF6" s="495"/>
      <c r="AG6" s="495"/>
      <c r="AH6" s="486"/>
      <c r="AI6" s="173" t="s">
        <v>288</v>
      </c>
      <c r="AJ6" s="4" t="s">
        <v>288</v>
      </c>
      <c r="AK6" s="4" t="s">
        <v>288</v>
      </c>
      <c r="AL6" s="4" t="s">
        <v>288</v>
      </c>
      <c r="AM6" s="4" t="s">
        <v>288</v>
      </c>
      <c r="AN6" s="4" t="s">
        <v>288</v>
      </c>
      <c r="AO6" s="4" t="s">
        <v>288</v>
      </c>
      <c r="AP6" s="4" t="s">
        <v>288</v>
      </c>
      <c r="AQ6" s="495"/>
      <c r="AR6" s="495"/>
      <c r="AS6" s="248" t="s">
        <v>292</v>
      </c>
      <c r="AT6" s="182" t="s">
        <v>198</v>
      </c>
      <c r="AU6" s="5" t="s">
        <v>199</v>
      </c>
      <c r="AV6" s="5" t="s">
        <v>200</v>
      </c>
      <c r="AW6" s="5" t="s">
        <v>201</v>
      </c>
      <c r="AX6" s="183" t="s">
        <v>20</v>
      </c>
      <c r="AY6" s="187" t="s">
        <v>202</v>
      </c>
      <c r="AZ6" s="33" t="s">
        <v>203</v>
      </c>
      <c r="BA6" s="33" t="s">
        <v>204</v>
      </c>
      <c r="BB6" s="188" t="s">
        <v>205</v>
      </c>
    </row>
    <row r="7" spans="1:54" s="37" customFormat="1" ht="120.75" customHeight="1" x14ac:dyDescent="0.25">
      <c r="A7" s="308" t="s">
        <v>34</v>
      </c>
      <c r="B7" s="307" t="s">
        <v>35</v>
      </c>
      <c r="C7" s="307" t="s">
        <v>36</v>
      </c>
      <c r="D7" s="307" t="s">
        <v>37</v>
      </c>
      <c r="E7" s="307"/>
      <c r="F7" s="310">
        <v>0.35</v>
      </c>
      <c r="G7" s="6" t="s">
        <v>640</v>
      </c>
      <c r="H7" s="73" t="s">
        <v>739</v>
      </c>
      <c r="I7" s="399">
        <v>0.35</v>
      </c>
      <c r="J7" s="6" t="s">
        <v>546</v>
      </c>
      <c r="K7" s="6" t="s">
        <v>616</v>
      </c>
      <c r="L7" s="309" t="s">
        <v>550</v>
      </c>
      <c r="M7" s="312" t="s">
        <v>452</v>
      </c>
      <c r="N7" s="56" t="s">
        <v>452</v>
      </c>
      <c r="O7" s="56" t="s">
        <v>452</v>
      </c>
      <c r="P7" s="56" t="s">
        <v>452</v>
      </c>
      <c r="Q7" s="56" t="s">
        <v>452</v>
      </c>
      <c r="R7" s="56" t="s">
        <v>452</v>
      </c>
      <c r="S7" s="56" t="s">
        <v>452</v>
      </c>
      <c r="T7" s="56" t="s">
        <v>452</v>
      </c>
      <c r="U7" s="67"/>
      <c r="V7" s="67"/>
      <c r="W7" s="175" t="str">
        <f>+IFERROR(AVERAGE(M7:T7),"-")</f>
        <v>-</v>
      </c>
      <c r="X7" s="174"/>
      <c r="Y7" s="67" t="s">
        <v>225</v>
      </c>
      <c r="Z7" s="67" t="s">
        <v>225</v>
      </c>
      <c r="AA7" s="67" t="s">
        <v>225</v>
      </c>
      <c r="AB7" s="67" t="s">
        <v>225</v>
      </c>
      <c r="AC7" s="67" t="s">
        <v>225</v>
      </c>
      <c r="AD7" s="67" t="s">
        <v>225</v>
      </c>
      <c r="AE7" s="67" t="s">
        <v>225</v>
      </c>
      <c r="AF7" s="67"/>
      <c r="AG7" s="67"/>
      <c r="AH7" s="175" t="str">
        <f>+IFERROR(AVERAGE(X7:AE7),"-")</f>
        <v>-</v>
      </c>
      <c r="AI7" s="174"/>
      <c r="AJ7" s="67" t="s">
        <v>225</v>
      </c>
      <c r="AK7" s="67" t="s">
        <v>225</v>
      </c>
      <c r="AL7" s="67" t="s">
        <v>225</v>
      </c>
      <c r="AM7" s="67" t="s">
        <v>225</v>
      </c>
      <c r="AN7" s="67" t="s">
        <v>225</v>
      </c>
      <c r="AO7" s="67" t="s">
        <v>225</v>
      </c>
      <c r="AP7" s="67" t="s">
        <v>225</v>
      </c>
      <c r="AQ7" s="67"/>
      <c r="AR7" s="67"/>
      <c r="AS7" s="175" t="str">
        <f>+IFERROR(AVERAGE(AI7:AP7),"-")</f>
        <v>-</v>
      </c>
      <c r="AT7" s="184" t="s">
        <v>225</v>
      </c>
      <c r="AU7" s="26" t="str">
        <f>IFERROR((W7*100%)/$I$7,"-")</f>
        <v>-</v>
      </c>
      <c r="AV7" s="26" t="str">
        <f>IFERROR((AH7*100%)/$I$7,"-")</f>
        <v>-</v>
      </c>
      <c r="AW7" s="26" t="str">
        <f>IFERROR((AS7*100%)/$I$7,"-")</f>
        <v>-</v>
      </c>
      <c r="AX7" s="185" t="str">
        <f>IFERROR(AVERAGE(AT7:AW7),"-")</f>
        <v>-</v>
      </c>
      <c r="AY7" s="189"/>
      <c r="AZ7" s="35"/>
      <c r="BA7" s="36"/>
      <c r="BB7" s="190"/>
    </row>
    <row r="8" spans="1:54" s="68" customFormat="1" ht="45.6" customHeight="1" thickBot="1" x14ac:dyDescent="0.25">
      <c r="A8" s="501" t="s">
        <v>293</v>
      </c>
      <c r="B8" s="502"/>
      <c r="C8" s="502"/>
      <c r="D8" s="502"/>
      <c r="E8" s="502"/>
      <c r="F8" s="502"/>
      <c r="G8" s="502"/>
      <c r="H8" s="502"/>
      <c r="I8" s="502"/>
      <c r="J8" s="502"/>
      <c r="K8" s="503"/>
      <c r="L8" s="504"/>
      <c r="M8" s="198" t="str">
        <f t="shared" ref="M8:T8" si="0">IFERROR(AVERAGE(M7:M7),"-")</f>
        <v>-</v>
      </c>
      <c r="N8" s="199" t="str">
        <f t="shared" si="0"/>
        <v>-</v>
      </c>
      <c r="O8" s="199" t="str">
        <f t="shared" si="0"/>
        <v>-</v>
      </c>
      <c r="P8" s="199" t="str">
        <f t="shared" si="0"/>
        <v>-</v>
      </c>
      <c r="Q8" s="199" t="str">
        <f t="shared" si="0"/>
        <v>-</v>
      </c>
      <c r="R8" s="199" t="str">
        <f t="shared" si="0"/>
        <v>-</v>
      </c>
      <c r="S8" s="199" t="str">
        <f t="shared" si="0"/>
        <v>-</v>
      </c>
      <c r="T8" s="199" t="str">
        <f t="shared" si="0"/>
        <v>-</v>
      </c>
      <c r="U8" s="178"/>
      <c r="V8" s="142"/>
      <c r="W8" s="473" t="str">
        <f t="shared" ref="W8:AE8" si="1">IFERROR(AVERAGE(W7:W7),"-")</f>
        <v>-</v>
      </c>
      <c r="X8" s="198" t="str">
        <f t="shared" si="1"/>
        <v>-</v>
      </c>
      <c r="Y8" s="199" t="str">
        <f t="shared" si="1"/>
        <v>-</v>
      </c>
      <c r="Z8" s="199" t="str">
        <f t="shared" si="1"/>
        <v>-</v>
      </c>
      <c r="AA8" s="199" t="str">
        <f t="shared" si="1"/>
        <v>-</v>
      </c>
      <c r="AB8" s="199" t="str">
        <f t="shared" si="1"/>
        <v>-</v>
      </c>
      <c r="AC8" s="199" t="str">
        <f t="shared" si="1"/>
        <v>-</v>
      </c>
      <c r="AD8" s="199" t="str">
        <f t="shared" si="1"/>
        <v>-</v>
      </c>
      <c r="AE8" s="199" t="str">
        <f t="shared" si="1"/>
        <v>-</v>
      </c>
      <c r="AF8" s="178"/>
      <c r="AG8" s="142"/>
      <c r="AH8" s="473" t="str">
        <f t="shared" ref="AH8:AP8" si="2">IFERROR(AVERAGE(AH7:AH7),"-")</f>
        <v>-</v>
      </c>
      <c r="AI8" s="198" t="str">
        <f t="shared" si="2"/>
        <v>-</v>
      </c>
      <c r="AJ8" s="199" t="str">
        <f t="shared" si="2"/>
        <v>-</v>
      </c>
      <c r="AK8" s="199" t="str">
        <f t="shared" si="2"/>
        <v>-</v>
      </c>
      <c r="AL8" s="199" t="str">
        <f t="shared" si="2"/>
        <v>-</v>
      </c>
      <c r="AM8" s="199" t="str">
        <f t="shared" si="2"/>
        <v>-</v>
      </c>
      <c r="AN8" s="199" t="str">
        <f t="shared" si="2"/>
        <v>-</v>
      </c>
      <c r="AO8" s="199" t="str">
        <f t="shared" si="2"/>
        <v>-</v>
      </c>
      <c r="AP8" s="199" t="str">
        <f t="shared" si="2"/>
        <v>-</v>
      </c>
      <c r="AQ8" s="178"/>
      <c r="AR8" s="142"/>
      <c r="AS8" s="473" t="str">
        <f t="shared" ref="AS8:AX8" si="3">IFERROR(AVERAGE(AS7:AS7),"-")</f>
        <v>-</v>
      </c>
      <c r="AT8" s="198" t="str">
        <f t="shared" si="3"/>
        <v>-</v>
      </c>
      <c r="AU8" s="199" t="str">
        <f t="shared" si="3"/>
        <v>-</v>
      </c>
      <c r="AV8" s="199" t="str">
        <f t="shared" si="3"/>
        <v>-</v>
      </c>
      <c r="AW8" s="69" t="str">
        <f t="shared" si="3"/>
        <v>-</v>
      </c>
      <c r="AX8" s="498" t="str">
        <f t="shared" si="3"/>
        <v>-</v>
      </c>
      <c r="AY8" s="193"/>
      <c r="AZ8" s="194"/>
      <c r="BA8" s="195"/>
      <c r="BB8" s="196"/>
    </row>
    <row r="9" spans="1:54" ht="26.25" thickBot="1" x14ac:dyDescent="0.25">
      <c r="M9" s="224"/>
      <c r="N9" s="201"/>
      <c r="O9" s="201"/>
      <c r="P9" s="201"/>
      <c r="Q9" s="201"/>
      <c r="R9" s="201"/>
      <c r="S9" s="201"/>
      <c r="T9" s="201"/>
      <c r="U9" s="202"/>
      <c r="V9" s="214" t="s">
        <v>295</v>
      </c>
      <c r="W9" s="474"/>
      <c r="X9" s="222"/>
      <c r="Y9" s="201"/>
      <c r="Z9" s="201"/>
      <c r="AA9" s="201"/>
      <c r="AB9" s="201"/>
      <c r="AC9" s="201"/>
      <c r="AD9" s="201"/>
      <c r="AE9" s="201"/>
      <c r="AF9" s="201"/>
      <c r="AG9" s="216" t="s">
        <v>296</v>
      </c>
      <c r="AH9" s="474"/>
      <c r="AI9" s="222"/>
      <c r="AJ9" s="201"/>
      <c r="AK9" s="201"/>
      <c r="AL9" s="201"/>
      <c r="AM9" s="201"/>
      <c r="AN9" s="201"/>
      <c r="AO9" s="201"/>
      <c r="AP9" s="201"/>
      <c r="AQ9" s="202"/>
      <c r="AR9" s="214" t="s">
        <v>297</v>
      </c>
      <c r="AS9" s="474"/>
      <c r="AT9" s="200"/>
      <c r="AU9" s="201"/>
      <c r="AV9" s="202"/>
      <c r="AW9" s="186" t="s">
        <v>294</v>
      </c>
      <c r="AX9" s="499"/>
    </row>
    <row r="10" spans="1:54" ht="45" x14ac:dyDescent="0.25">
      <c r="H10" s="517" t="s">
        <v>641</v>
      </c>
      <c r="I10" s="517"/>
      <c r="J10" s="517"/>
      <c r="K10" s="314" t="s">
        <v>638</v>
      </c>
      <c r="L10" s="333" t="s">
        <v>645</v>
      </c>
      <c r="M10" s="316" t="s">
        <v>643</v>
      </c>
      <c r="N10" s="317" t="s">
        <v>644</v>
      </c>
      <c r="O10" s="317" t="s">
        <v>642</v>
      </c>
      <c r="W10" s="57"/>
      <c r="X10" s="29"/>
      <c r="AH10" s="57"/>
      <c r="AI10" s="29"/>
    </row>
    <row r="11" spans="1:54" ht="15" x14ac:dyDescent="0.25">
      <c r="H11" s="524" t="s">
        <v>38</v>
      </c>
      <c r="I11" s="524"/>
      <c r="J11" s="524"/>
      <c r="K11" s="319">
        <v>0.35</v>
      </c>
      <c r="L11" s="525">
        <v>0.35</v>
      </c>
      <c r="M11" s="319" t="str">
        <f>+M7</f>
        <v>-</v>
      </c>
      <c r="N11" s="319" t="str">
        <f t="shared" ref="N11:N18" si="4">IFERROR((M11*100%)/K11,"-")</f>
        <v>-</v>
      </c>
      <c r="O11" s="525" t="str">
        <f>IFERROR(+M19,"-")</f>
        <v>-</v>
      </c>
      <c r="W11" s="57"/>
      <c r="X11" s="29"/>
      <c r="AH11" s="57"/>
      <c r="AI11" s="29"/>
    </row>
    <row r="12" spans="1:54" ht="15" x14ac:dyDescent="0.25">
      <c r="H12" s="524" t="s">
        <v>41</v>
      </c>
      <c r="I12" s="524"/>
      <c r="J12" s="524"/>
      <c r="K12" s="319">
        <v>0.35</v>
      </c>
      <c r="L12" s="526"/>
      <c r="M12" s="319" t="str">
        <f>+N7</f>
        <v>-</v>
      </c>
      <c r="N12" s="319" t="str">
        <f t="shared" si="4"/>
        <v>-</v>
      </c>
      <c r="O12" s="526"/>
      <c r="W12" s="57"/>
      <c r="X12" s="29"/>
      <c r="AH12" s="57"/>
      <c r="AI12" s="29"/>
    </row>
    <row r="13" spans="1:54" ht="15" x14ac:dyDescent="0.25">
      <c r="H13" s="524" t="s">
        <v>668</v>
      </c>
      <c r="I13" s="524"/>
      <c r="J13" s="524"/>
      <c r="K13" s="319">
        <v>0.35</v>
      </c>
      <c r="L13" s="526"/>
      <c r="M13" s="319" t="str">
        <f>+O7</f>
        <v>-</v>
      </c>
      <c r="N13" s="319" t="str">
        <f t="shared" si="4"/>
        <v>-</v>
      </c>
      <c r="O13" s="526"/>
      <c r="W13" s="57"/>
      <c r="X13" s="29"/>
      <c r="AH13" s="57"/>
      <c r="AI13" s="29"/>
    </row>
    <row r="14" spans="1:54" ht="15" x14ac:dyDescent="0.25">
      <c r="H14" s="524" t="s">
        <v>669</v>
      </c>
      <c r="I14" s="524"/>
      <c r="J14" s="524"/>
      <c r="K14" s="319">
        <v>0.35</v>
      </c>
      <c r="L14" s="526"/>
      <c r="M14" s="336" t="str">
        <f>+P7</f>
        <v>-</v>
      </c>
      <c r="N14" s="319" t="str">
        <f t="shared" si="4"/>
        <v>-</v>
      </c>
      <c r="O14" s="526"/>
      <c r="W14" s="57"/>
      <c r="X14" s="29"/>
      <c r="AH14" s="57"/>
      <c r="AI14" s="29"/>
    </row>
    <row r="15" spans="1:54" ht="15" x14ac:dyDescent="0.25">
      <c r="H15" s="524" t="s">
        <v>670</v>
      </c>
      <c r="I15" s="524"/>
      <c r="J15" s="524"/>
      <c r="K15" s="319">
        <v>0.35</v>
      </c>
      <c r="L15" s="526"/>
      <c r="M15" s="336" t="str">
        <f>+Q7</f>
        <v>-</v>
      </c>
      <c r="N15" s="319" t="str">
        <f t="shared" si="4"/>
        <v>-</v>
      </c>
      <c r="O15" s="526"/>
      <c r="W15" s="57"/>
      <c r="X15" s="29"/>
      <c r="AH15" s="57"/>
      <c r="AI15" s="29"/>
    </row>
    <row r="16" spans="1:54" ht="15" x14ac:dyDescent="0.25">
      <c r="H16" s="524" t="s">
        <v>671</v>
      </c>
      <c r="I16" s="524"/>
      <c r="J16" s="524"/>
      <c r="K16" s="319">
        <v>0.35</v>
      </c>
      <c r="L16" s="526"/>
      <c r="M16" s="336" t="str">
        <f>+R7</f>
        <v>-</v>
      </c>
      <c r="N16" s="319" t="str">
        <f t="shared" si="4"/>
        <v>-</v>
      </c>
      <c r="O16" s="526"/>
      <c r="W16" s="57"/>
      <c r="X16" s="29"/>
      <c r="AH16" s="57"/>
      <c r="AI16" s="29"/>
    </row>
    <row r="17" spans="8:35" ht="15" x14ac:dyDescent="0.25">
      <c r="H17" s="524" t="s">
        <v>672</v>
      </c>
      <c r="I17" s="524"/>
      <c r="J17" s="524"/>
      <c r="K17" s="319">
        <v>0.35</v>
      </c>
      <c r="L17" s="526"/>
      <c r="M17" s="336" t="str">
        <f>+S7</f>
        <v>-</v>
      </c>
      <c r="N17" s="319" t="str">
        <f t="shared" si="4"/>
        <v>-</v>
      </c>
      <c r="O17" s="526"/>
      <c r="W17" s="57"/>
      <c r="X17" s="29"/>
      <c r="AH17" s="57"/>
      <c r="AI17" s="29"/>
    </row>
    <row r="18" spans="8:35" ht="15" x14ac:dyDescent="0.25">
      <c r="H18" s="524" t="s">
        <v>673</v>
      </c>
      <c r="I18" s="524"/>
      <c r="J18" s="524"/>
      <c r="K18" s="319">
        <v>0.35</v>
      </c>
      <c r="L18" s="527"/>
      <c r="M18" s="336" t="str">
        <f>+T7</f>
        <v>-</v>
      </c>
      <c r="N18" s="319" t="str">
        <f t="shared" si="4"/>
        <v>-</v>
      </c>
      <c r="O18" s="527"/>
      <c r="W18" s="57"/>
      <c r="X18" s="29"/>
      <c r="AH18" s="57"/>
      <c r="AI18" s="29"/>
    </row>
    <row r="19" spans="8:35" ht="14.25" x14ac:dyDescent="0.2">
      <c r="L19" s="398"/>
      <c r="M19" s="318" t="e">
        <f>+AVERAGE(M11:M18)</f>
        <v>#DIV/0!</v>
      </c>
      <c r="O19" s="398"/>
      <c r="W19" s="57"/>
      <c r="X19" s="29"/>
      <c r="AH19" s="57"/>
      <c r="AI19" s="29"/>
    </row>
    <row r="20" spans="8:35" x14ac:dyDescent="0.2">
      <c r="L20" s="313"/>
      <c r="M20" s="29"/>
      <c r="W20" s="57"/>
      <c r="X20" s="29"/>
      <c r="AH20" s="57"/>
      <c r="AI20" s="29"/>
    </row>
    <row r="21" spans="8:35" x14ac:dyDescent="0.2">
      <c r="L21" s="57"/>
      <c r="M21" s="29"/>
      <c r="W21" s="57"/>
      <c r="X21" s="29"/>
      <c r="AH21" s="57"/>
      <c r="AI21" s="29"/>
    </row>
  </sheetData>
  <mergeCells count="45">
    <mergeCell ref="L11:L18"/>
    <mergeCell ref="O11:O18"/>
    <mergeCell ref="AY5:BB5"/>
    <mergeCell ref="AQ5:AQ6"/>
    <mergeCell ref="AR5:AR6"/>
    <mergeCell ref="AH5:AH6"/>
    <mergeCell ref="AX8:AX9"/>
    <mergeCell ref="A8:L8"/>
    <mergeCell ref="W8:W9"/>
    <mergeCell ref="AH8:AH9"/>
    <mergeCell ref="AS8:AS9"/>
    <mergeCell ref="AT5:AX5"/>
    <mergeCell ref="H15:J15"/>
    <mergeCell ref="H16:J16"/>
    <mergeCell ref="H17:J17"/>
    <mergeCell ref="H18:J18"/>
    <mergeCell ref="A4:D4"/>
    <mergeCell ref="A5:A6"/>
    <mergeCell ref="B5:B6"/>
    <mergeCell ref="C5:C6"/>
    <mergeCell ref="D5:D6"/>
    <mergeCell ref="G5:G6"/>
    <mergeCell ref="H5:H6"/>
    <mergeCell ref="I5:I6"/>
    <mergeCell ref="E5:E6"/>
    <mergeCell ref="AG5:AG6"/>
    <mergeCell ref="W5:W6"/>
    <mergeCell ref="L5:L6"/>
    <mergeCell ref="J5:J6"/>
    <mergeCell ref="U5:U6"/>
    <mergeCell ref="V5:V6"/>
    <mergeCell ref="AF5:AF6"/>
    <mergeCell ref="K5:K6"/>
    <mergeCell ref="F5:F6"/>
    <mergeCell ref="A1:B1"/>
    <mergeCell ref="C1:AY1"/>
    <mergeCell ref="AZ1:BB2"/>
    <mergeCell ref="A2:B3"/>
    <mergeCell ref="C2:AY3"/>
    <mergeCell ref="AZ3:BB3"/>
    <mergeCell ref="H10:J10"/>
    <mergeCell ref="H11:J11"/>
    <mergeCell ref="H12:J12"/>
    <mergeCell ref="H13:J13"/>
    <mergeCell ref="H14:J14"/>
  </mergeCells>
  <conditionalFormatting sqref="AX8 AT7:AX7">
    <cfRule type="cellIs" dxfId="71" priority="1" operator="lessThan">
      <formula>0.6</formula>
    </cfRule>
    <cfRule type="cellIs" dxfId="70" priority="2" operator="between">
      <formula>60%</formula>
      <formula>79%</formula>
    </cfRule>
    <cfRule type="cellIs" dxfId="69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opLeftCell="D1" zoomScale="70" zoomScaleNormal="70" workbookViewId="0">
      <selection activeCell="T8" sqref="A8:XFD8"/>
    </sheetView>
  </sheetViews>
  <sheetFormatPr baseColWidth="10" defaultRowHeight="12.75" x14ac:dyDescent="0.2"/>
  <cols>
    <col min="1" max="1" width="21.42578125" style="29" customWidth="1"/>
    <col min="2" max="2" width="29.140625" style="29" customWidth="1"/>
    <col min="3" max="3" width="38.7109375" style="29" customWidth="1"/>
    <col min="4" max="4" width="31" style="29" customWidth="1"/>
    <col min="5" max="5" width="20.7109375" style="29" customWidth="1"/>
    <col min="6" max="6" width="14.42578125" style="38" customWidth="1"/>
    <col min="7" max="7" width="25.85546875" style="29" customWidth="1"/>
    <col min="8" max="8" width="35.28515625" style="86" customWidth="1"/>
    <col min="9" max="9" width="16.5703125" style="29" customWidth="1"/>
    <col min="10" max="10" width="16.42578125" style="29" customWidth="1"/>
    <col min="11" max="11" width="19.7109375" style="29" customWidth="1"/>
    <col min="12" max="12" width="19.42578125" style="29" customWidth="1"/>
    <col min="13" max="13" width="19.42578125" style="57" customWidth="1"/>
    <col min="14" max="14" width="19.42578125" style="29" customWidth="1"/>
    <col min="15" max="15" width="17.85546875" style="29" customWidth="1"/>
    <col min="16" max="16" width="18.140625" style="29" customWidth="1"/>
    <col min="17" max="20" width="20.42578125" style="29" customWidth="1"/>
    <col min="21" max="21" width="28.140625" style="29" customWidth="1"/>
    <col min="22" max="22" width="20.42578125" style="29" customWidth="1"/>
    <col min="23" max="23" width="22.140625" style="29" customWidth="1"/>
    <col min="24" max="24" width="19.42578125" style="57" hidden="1" customWidth="1"/>
    <col min="25" max="25" width="19.42578125" style="29" hidden="1" customWidth="1"/>
    <col min="26" max="26" width="17.85546875" style="29" hidden="1" customWidth="1"/>
    <col min="27" max="29" width="18.140625" style="29" hidden="1" customWidth="1"/>
    <col min="30" max="30" width="20.42578125" style="29" hidden="1" customWidth="1"/>
    <col min="31" max="31" width="19.28515625" style="29" hidden="1" customWidth="1"/>
    <col min="32" max="32" width="23.42578125" style="29" hidden="1" customWidth="1"/>
    <col min="33" max="33" width="20.42578125" style="29" hidden="1" customWidth="1"/>
    <col min="34" max="34" width="22.140625" style="29" hidden="1" customWidth="1"/>
    <col min="35" max="35" width="19.42578125" style="57" hidden="1" customWidth="1"/>
    <col min="36" max="36" width="19.42578125" style="29" hidden="1" customWidth="1"/>
    <col min="37" max="37" width="17.85546875" style="29" hidden="1" customWidth="1"/>
    <col min="38" max="40" width="18.140625" style="29" hidden="1" customWidth="1"/>
    <col min="41" max="41" width="20.42578125" style="29" hidden="1" customWidth="1"/>
    <col min="42" max="42" width="19.28515625" style="29" hidden="1" customWidth="1"/>
    <col min="43" max="43" width="23.42578125" style="29" hidden="1" customWidth="1"/>
    <col min="44" max="44" width="20.42578125" style="29" hidden="1" customWidth="1"/>
    <col min="45" max="45" width="22.140625" style="29" hidden="1" customWidth="1"/>
    <col min="46" max="46" width="17.7109375" style="29" customWidth="1"/>
    <col min="47" max="47" width="17.85546875" style="29" customWidth="1"/>
    <col min="48" max="48" width="19.140625" style="29" customWidth="1"/>
    <col min="49" max="49" width="18.7109375" style="29" customWidth="1"/>
    <col min="50" max="50" width="21" style="29" customWidth="1"/>
    <col min="51" max="51" width="26.5703125" style="29" customWidth="1"/>
    <col min="52" max="52" width="24.5703125" style="29" customWidth="1"/>
    <col min="53" max="53" width="28.140625" style="29" customWidth="1"/>
    <col min="54" max="54" width="27.85546875" style="29" customWidth="1"/>
    <col min="55" max="55" width="11.42578125" style="29"/>
    <col min="56" max="56" width="11.42578125" style="29" customWidth="1"/>
    <col min="57" max="16384" width="11.42578125" style="29"/>
  </cols>
  <sheetData>
    <row r="1" spans="1:54" ht="75.75" customHeight="1" x14ac:dyDescent="0.2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96"/>
      <c r="BA1" s="496"/>
      <c r="BB1" s="496"/>
    </row>
    <row r="2" spans="1:54" ht="41.25" customHeight="1" x14ac:dyDescent="0.2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96"/>
      <c r="BA2" s="496"/>
      <c r="BB2" s="496"/>
    </row>
    <row r="3" spans="1:54" ht="41.25" customHeight="1" x14ac:dyDescent="0.2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97" t="s">
        <v>695</v>
      </c>
      <c r="BA3" s="497"/>
      <c r="BB3" s="497"/>
    </row>
    <row r="4" spans="1:54" ht="32.25" customHeight="1" thickBot="1" x14ac:dyDescent="0.25">
      <c r="A4" s="481" t="s">
        <v>193</v>
      </c>
      <c r="B4" s="481"/>
      <c r="C4" s="481"/>
      <c r="D4" s="481"/>
    </row>
    <row r="5" spans="1:54" ht="57" customHeight="1" x14ac:dyDescent="0.2">
      <c r="A5" s="482" t="s">
        <v>1</v>
      </c>
      <c r="B5" s="484" t="s">
        <v>3</v>
      </c>
      <c r="C5" s="484" t="s">
        <v>194</v>
      </c>
      <c r="D5" s="484" t="s">
        <v>195</v>
      </c>
      <c r="E5" s="484" t="s">
        <v>196</v>
      </c>
      <c r="F5" s="492" t="s">
        <v>230</v>
      </c>
      <c r="G5" s="484" t="s">
        <v>227</v>
      </c>
      <c r="H5" s="484" t="s">
        <v>226</v>
      </c>
      <c r="I5" s="484" t="s">
        <v>8</v>
      </c>
      <c r="J5" s="484" t="s">
        <v>545</v>
      </c>
      <c r="K5" s="484" t="s">
        <v>574</v>
      </c>
      <c r="L5" s="487" t="s">
        <v>9</v>
      </c>
      <c r="M5" s="205" t="s">
        <v>311</v>
      </c>
      <c r="N5" s="221" t="s">
        <v>312</v>
      </c>
      <c r="O5" s="221" t="s">
        <v>313</v>
      </c>
      <c r="P5" s="221" t="s">
        <v>314</v>
      </c>
      <c r="Q5" s="221" t="s">
        <v>315</v>
      </c>
      <c r="R5" s="221" t="s">
        <v>316</v>
      </c>
      <c r="S5" s="221" t="s">
        <v>317</v>
      </c>
      <c r="T5" s="221" t="s">
        <v>516</v>
      </c>
      <c r="U5" s="494" t="s">
        <v>447</v>
      </c>
      <c r="V5" s="494" t="s">
        <v>448</v>
      </c>
      <c r="W5" s="485" t="s">
        <v>540</v>
      </c>
      <c r="X5" s="205" t="s">
        <v>311</v>
      </c>
      <c r="Y5" s="221" t="s">
        <v>312</v>
      </c>
      <c r="Z5" s="221" t="s">
        <v>313</v>
      </c>
      <c r="AA5" s="221" t="s">
        <v>314</v>
      </c>
      <c r="AB5" s="221" t="s">
        <v>315</v>
      </c>
      <c r="AC5" s="221" t="s">
        <v>316</v>
      </c>
      <c r="AD5" s="221" t="s">
        <v>317</v>
      </c>
      <c r="AE5" s="221" t="s">
        <v>516</v>
      </c>
      <c r="AF5" s="494" t="s">
        <v>447</v>
      </c>
      <c r="AG5" s="494" t="s">
        <v>448</v>
      </c>
      <c r="AH5" s="485" t="s">
        <v>543</v>
      </c>
      <c r="AI5" s="205" t="s">
        <v>311</v>
      </c>
      <c r="AJ5" s="221" t="s">
        <v>312</v>
      </c>
      <c r="AK5" s="221" t="s">
        <v>313</v>
      </c>
      <c r="AL5" s="221" t="s">
        <v>314</v>
      </c>
      <c r="AM5" s="221" t="s">
        <v>315</v>
      </c>
      <c r="AN5" s="221" t="s">
        <v>316</v>
      </c>
      <c r="AO5" s="221" t="s">
        <v>317</v>
      </c>
      <c r="AP5" s="221" t="s">
        <v>516</v>
      </c>
      <c r="AQ5" s="494" t="s">
        <v>447</v>
      </c>
      <c r="AR5" s="494" t="s">
        <v>448</v>
      </c>
      <c r="AS5" s="485" t="s">
        <v>544</v>
      </c>
      <c r="AT5" s="528" t="s">
        <v>11</v>
      </c>
      <c r="AU5" s="529"/>
      <c r="AV5" s="529"/>
      <c r="AW5" s="529"/>
      <c r="AX5" s="530"/>
      <c r="AY5" s="478" t="s">
        <v>197</v>
      </c>
      <c r="AZ5" s="479"/>
      <c r="BA5" s="479"/>
      <c r="BB5" s="480"/>
    </row>
    <row r="6" spans="1:54" ht="63" customHeight="1" x14ac:dyDescent="0.2">
      <c r="A6" s="48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173" t="s">
        <v>298</v>
      </c>
      <c r="N6" s="4" t="s">
        <v>298</v>
      </c>
      <c r="O6" s="4" t="s">
        <v>298</v>
      </c>
      <c r="P6" s="4" t="s">
        <v>298</v>
      </c>
      <c r="Q6" s="4" t="s">
        <v>298</v>
      </c>
      <c r="R6" s="4" t="s">
        <v>298</v>
      </c>
      <c r="S6" s="4" t="s">
        <v>298</v>
      </c>
      <c r="T6" s="4" t="s">
        <v>298</v>
      </c>
      <c r="U6" s="495"/>
      <c r="V6" s="495"/>
      <c r="W6" s="486"/>
      <c r="X6" s="173" t="s">
        <v>287</v>
      </c>
      <c r="Y6" s="4" t="s">
        <v>287</v>
      </c>
      <c r="Z6" s="4" t="s">
        <v>287</v>
      </c>
      <c r="AA6" s="4" t="s">
        <v>287</v>
      </c>
      <c r="AB6" s="4" t="s">
        <v>287</v>
      </c>
      <c r="AC6" s="4" t="s">
        <v>287</v>
      </c>
      <c r="AD6" s="4" t="s">
        <v>287</v>
      </c>
      <c r="AE6" s="4" t="s">
        <v>287</v>
      </c>
      <c r="AF6" s="495"/>
      <c r="AG6" s="495"/>
      <c r="AH6" s="486"/>
      <c r="AI6" s="173" t="s">
        <v>288</v>
      </c>
      <c r="AJ6" s="4" t="s">
        <v>288</v>
      </c>
      <c r="AK6" s="4" t="s">
        <v>288</v>
      </c>
      <c r="AL6" s="4" t="s">
        <v>288</v>
      </c>
      <c r="AM6" s="4" t="s">
        <v>288</v>
      </c>
      <c r="AN6" s="4" t="s">
        <v>288</v>
      </c>
      <c r="AO6" s="4" t="s">
        <v>288</v>
      </c>
      <c r="AP6" s="4" t="s">
        <v>288</v>
      </c>
      <c r="AQ6" s="495"/>
      <c r="AR6" s="495"/>
      <c r="AS6" s="486"/>
      <c r="AT6" s="182" t="s">
        <v>198</v>
      </c>
      <c r="AU6" s="5" t="s">
        <v>199</v>
      </c>
      <c r="AV6" s="5" t="s">
        <v>200</v>
      </c>
      <c r="AW6" s="5" t="s">
        <v>201</v>
      </c>
      <c r="AX6" s="183" t="s">
        <v>20</v>
      </c>
      <c r="AY6" s="187" t="s">
        <v>202</v>
      </c>
      <c r="AZ6" s="33" t="s">
        <v>203</v>
      </c>
      <c r="BA6" s="33" t="s">
        <v>204</v>
      </c>
      <c r="BB6" s="188" t="s">
        <v>205</v>
      </c>
    </row>
    <row r="7" spans="1:54" s="37" customFormat="1" ht="91.5" customHeight="1" x14ac:dyDescent="0.25">
      <c r="A7" s="508" t="s">
        <v>48</v>
      </c>
      <c r="B7" s="505" t="s">
        <v>305</v>
      </c>
      <c r="C7" s="505" t="s">
        <v>214</v>
      </c>
      <c r="D7" s="505" t="s">
        <v>306</v>
      </c>
      <c r="E7" s="505" t="s">
        <v>307</v>
      </c>
      <c r="F7" s="475" t="s">
        <v>309</v>
      </c>
      <c r="G7" s="6" t="s">
        <v>51</v>
      </c>
      <c r="H7" s="6" t="s">
        <v>308</v>
      </c>
      <c r="I7" s="6" t="s">
        <v>310</v>
      </c>
      <c r="J7" s="12" t="s">
        <v>614</v>
      </c>
      <c r="K7" s="11" t="s">
        <v>615</v>
      </c>
      <c r="L7" s="511" t="s">
        <v>434</v>
      </c>
      <c r="M7" s="174" t="s">
        <v>225</v>
      </c>
      <c r="N7" s="56" t="s">
        <v>225</v>
      </c>
      <c r="O7" s="56" t="s">
        <v>225</v>
      </c>
      <c r="P7" s="56" t="s">
        <v>225</v>
      </c>
      <c r="Q7" s="56" t="s">
        <v>225</v>
      </c>
      <c r="R7" s="56" t="s">
        <v>225</v>
      </c>
      <c r="S7" s="56" t="s">
        <v>225</v>
      </c>
      <c r="T7" s="56" t="s">
        <v>225</v>
      </c>
      <c r="U7" s="56" t="s">
        <v>687</v>
      </c>
      <c r="V7" s="56"/>
      <c r="W7" s="175" t="str">
        <f>+IFERROR(AVERAGE(M7:T7),"-")</f>
        <v>-</v>
      </c>
      <c r="X7" s="174" t="s">
        <v>225</v>
      </c>
      <c r="Y7" s="56" t="s">
        <v>225</v>
      </c>
      <c r="Z7" s="56" t="s">
        <v>225</v>
      </c>
      <c r="AA7" s="56" t="s">
        <v>225</v>
      </c>
      <c r="AB7" s="56" t="s">
        <v>225</v>
      </c>
      <c r="AC7" s="56" t="s">
        <v>225</v>
      </c>
      <c r="AD7" s="56" t="s">
        <v>225</v>
      </c>
      <c r="AE7" s="56" t="s">
        <v>225</v>
      </c>
      <c r="AF7" s="56"/>
      <c r="AG7" s="56"/>
      <c r="AH7" s="175" t="str">
        <f>+IFERROR(AVERAGE(X7:AE7),"-")</f>
        <v>-</v>
      </c>
      <c r="AI7" s="261"/>
      <c r="AJ7" s="88"/>
      <c r="AK7" s="88"/>
      <c r="AL7" s="88"/>
      <c r="AM7" s="88"/>
      <c r="AN7" s="88"/>
      <c r="AO7" s="88"/>
      <c r="AP7" s="87"/>
      <c r="AQ7" s="56"/>
      <c r="AR7" s="56"/>
      <c r="AS7" s="262" t="str">
        <f>+IFERROR(AVERAGE(AI7:AP7),"-")</f>
        <v>-</v>
      </c>
      <c r="AT7" s="184" t="s">
        <v>225</v>
      </c>
      <c r="AU7" s="26" t="s">
        <v>225</v>
      </c>
      <c r="AV7" s="26" t="s">
        <v>225</v>
      </c>
      <c r="AW7" s="26">
        <f>+IFERROR(IF(AS7&gt;=1.11,100%,0)*AND(IF(AS7&lt;=1.19,100%,0)),"-")</f>
        <v>0</v>
      </c>
      <c r="AX7" s="185">
        <f>IFERROR(AVERAGE(AT7:AW7),"-")</f>
        <v>0</v>
      </c>
      <c r="AY7" s="189"/>
      <c r="AZ7" s="35"/>
      <c r="BA7" s="36"/>
      <c r="BB7" s="190"/>
    </row>
    <row r="8" spans="1:54" ht="72.75" hidden="1" customHeight="1" x14ac:dyDescent="0.2">
      <c r="A8" s="509"/>
      <c r="B8" s="506"/>
      <c r="C8" s="506"/>
      <c r="D8" s="506"/>
      <c r="E8" s="506"/>
      <c r="F8" s="476"/>
      <c r="G8" s="74" t="s">
        <v>533</v>
      </c>
      <c r="H8" s="74" t="s">
        <v>534</v>
      </c>
      <c r="I8" s="6">
        <v>1</v>
      </c>
      <c r="J8" s="12" t="s">
        <v>613</v>
      </c>
      <c r="K8" s="11" t="s">
        <v>637</v>
      </c>
      <c r="L8" s="513"/>
      <c r="M8" s="174"/>
      <c r="N8" s="7"/>
      <c r="O8" s="7"/>
      <c r="P8" s="7"/>
      <c r="Q8" s="7"/>
      <c r="R8" s="7"/>
      <c r="S8" s="7"/>
      <c r="T8" s="7"/>
      <c r="U8" s="67" t="s">
        <v>686</v>
      </c>
      <c r="V8" s="7"/>
      <c r="W8" s="175" t="str">
        <f>+IFERROR(AVERAGE(M8:T8),"-")</f>
        <v>-</v>
      </c>
      <c r="X8" s="174"/>
      <c r="Y8" s="7"/>
      <c r="Z8" s="7"/>
      <c r="AA8" s="7"/>
      <c r="AB8" s="7"/>
      <c r="AC8" s="7"/>
      <c r="AD8" s="7"/>
      <c r="AE8" s="7"/>
      <c r="AF8" s="7"/>
      <c r="AG8" s="7"/>
      <c r="AH8" s="175" t="str">
        <f>+IFERROR(AVERAGE(X8:AE8),"-")</f>
        <v>-</v>
      </c>
      <c r="AI8" s="174"/>
      <c r="AJ8" s="7"/>
      <c r="AK8" s="7"/>
      <c r="AL8" s="7"/>
      <c r="AM8" s="7"/>
      <c r="AN8" s="7"/>
      <c r="AO8" s="7"/>
      <c r="AP8" s="7"/>
      <c r="AQ8" s="7"/>
      <c r="AR8" s="7"/>
      <c r="AS8" s="175" t="str">
        <f>+IFERROR(AVERAGE(AI8:AP8),"-")</f>
        <v>-</v>
      </c>
      <c r="AT8" s="184" t="s">
        <v>225</v>
      </c>
      <c r="AU8" s="26" t="s">
        <v>225</v>
      </c>
      <c r="AV8" s="26" t="s">
        <v>225</v>
      </c>
      <c r="AW8" s="26" t="str">
        <f>IFERROR((AS8*100%)/$I$8,"-")</f>
        <v>-</v>
      </c>
      <c r="AX8" s="185" t="str">
        <f>IFERROR(AVERAGE(AT8:AW8),"-")</f>
        <v>-</v>
      </c>
      <c r="AY8" s="191"/>
      <c r="AZ8" s="30"/>
      <c r="BA8" s="28"/>
      <c r="BB8" s="192"/>
    </row>
    <row r="9" spans="1:54" s="68" customFormat="1" ht="45.6" customHeight="1" thickBot="1" x14ac:dyDescent="0.25">
      <c r="A9" s="501" t="s">
        <v>293</v>
      </c>
      <c r="B9" s="502"/>
      <c r="C9" s="502"/>
      <c r="D9" s="502"/>
      <c r="E9" s="502"/>
      <c r="F9" s="502"/>
      <c r="G9" s="502"/>
      <c r="H9" s="502"/>
      <c r="I9" s="502"/>
      <c r="J9" s="502"/>
      <c r="K9" s="503"/>
      <c r="L9" s="504"/>
      <c r="M9" s="258" t="str">
        <f t="shared" ref="M9:T9" si="0">IFERROR(AVERAGE(M7:M8),"-")</f>
        <v>-</v>
      </c>
      <c r="N9" s="259" t="str">
        <f t="shared" si="0"/>
        <v>-</v>
      </c>
      <c r="O9" s="259" t="str">
        <f t="shared" si="0"/>
        <v>-</v>
      </c>
      <c r="P9" s="259" t="str">
        <f t="shared" si="0"/>
        <v>-</v>
      </c>
      <c r="Q9" s="259" t="str">
        <f t="shared" si="0"/>
        <v>-</v>
      </c>
      <c r="R9" s="259" t="str">
        <f t="shared" si="0"/>
        <v>-</v>
      </c>
      <c r="S9" s="259" t="str">
        <f t="shared" si="0"/>
        <v>-</v>
      </c>
      <c r="T9" s="259" t="str">
        <f t="shared" si="0"/>
        <v>-</v>
      </c>
      <c r="U9" s="260"/>
      <c r="V9" s="257"/>
      <c r="W9" s="531" t="str">
        <f t="shared" ref="W9:AE9" si="1">IFERROR(AVERAGE(W7:W8),"-")</f>
        <v>-</v>
      </c>
      <c r="X9" s="258" t="str">
        <f t="shared" si="1"/>
        <v>-</v>
      </c>
      <c r="Y9" s="259" t="str">
        <f t="shared" si="1"/>
        <v>-</v>
      </c>
      <c r="Z9" s="259" t="str">
        <f t="shared" si="1"/>
        <v>-</v>
      </c>
      <c r="AA9" s="259" t="str">
        <f t="shared" si="1"/>
        <v>-</v>
      </c>
      <c r="AB9" s="259" t="str">
        <f t="shared" si="1"/>
        <v>-</v>
      </c>
      <c r="AC9" s="259" t="str">
        <f t="shared" si="1"/>
        <v>-</v>
      </c>
      <c r="AD9" s="259" t="str">
        <f t="shared" si="1"/>
        <v>-</v>
      </c>
      <c r="AE9" s="259" t="str">
        <f t="shared" si="1"/>
        <v>-</v>
      </c>
      <c r="AF9" s="260"/>
      <c r="AG9" s="257"/>
      <c r="AH9" s="531" t="str">
        <f t="shared" ref="AH9:AP9" si="2">IFERROR(AVERAGE(AH7:AH8),"-")</f>
        <v>-</v>
      </c>
      <c r="AI9" s="258" t="str">
        <f t="shared" si="2"/>
        <v>-</v>
      </c>
      <c r="AJ9" s="259" t="str">
        <f t="shared" si="2"/>
        <v>-</v>
      </c>
      <c r="AK9" s="259" t="str">
        <f t="shared" si="2"/>
        <v>-</v>
      </c>
      <c r="AL9" s="259" t="str">
        <f t="shared" si="2"/>
        <v>-</v>
      </c>
      <c r="AM9" s="259" t="str">
        <f t="shared" si="2"/>
        <v>-</v>
      </c>
      <c r="AN9" s="259" t="str">
        <f t="shared" si="2"/>
        <v>-</v>
      </c>
      <c r="AO9" s="259" t="str">
        <f t="shared" si="2"/>
        <v>-</v>
      </c>
      <c r="AP9" s="259" t="str">
        <f t="shared" si="2"/>
        <v>-</v>
      </c>
      <c r="AQ9" s="260"/>
      <c r="AR9" s="257"/>
      <c r="AS9" s="531" t="str">
        <f t="shared" ref="AS9:AX9" si="3">IFERROR(AVERAGE(AS7:AS8),"-")</f>
        <v>-</v>
      </c>
      <c r="AT9" s="198" t="str">
        <f t="shared" si="3"/>
        <v>-</v>
      </c>
      <c r="AU9" s="199" t="str">
        <f t="shared" si="3"/>
        <v>-</v>
      </c>
      <c r="AV9" s="199" t="str">
        <f t="shared" si="3"/>
        <v>-</v>
      </c>
      <c r="AW9" s="69">
        <f t="shared" si="3"/>
        <v>0</v>
      </c>
      <c r="AX9" s="498">
        <f t="shared" si="3"/>
        <v>0</v>
      </c>
      <c r="AY9" s="193"/>
      <c r="AZ9" s="194"/>
      <c r="BA9" s="195"/>
      <c r="BB9" s="196"/>
    </row>
    <row r="10" spans="1:54" ht="26.25" thickBot="1" x14ac:dyDescent="0.25">
      <c r="M10" s="224"/>
      <c r="N10" s="201"/>
      <c r="O10" s="201"/>
      <c r="P10" s="201"/>
      <c r="Q10" s="201"/>
      <c r="R10" s="201"/>
      <c r="S10" s="201"/>
      <c r="T10" s="201"/>
      <c r="U10" s="202"/>
      <c r="V10" s="214" t="s">
        <v>295</v>
      </c>
      <c r="W10" s="532"/>
      <c r="X10" s="222"/>
      <c r="Y10" s="201"/>
      <c r="Z10" s="201"/>
      <c r="AA10" s="201"/>
      <c r="AB10" s="201"/>
      <c r="AC10" s="201"/>
      <c r="AD10" s="201"/>
      <c r="AE10" s="201"/>
      <c r="AF10" s="202"/>
      <c r="AG10" s="213" t="s">
        <v>296</v>
      </c>
      <c r="AH10" s="532"/>
      <c r="AI10" s="222"/>
      <c r="AJ10" s="201"/>
      <c r="AK10" s="201"/>
      <c r="AL10" s="201"/>
      <c r="AM10" s="201"/>
      <c r="AN10" s="201"/>
      <c r="AO10" s="201"/>
      <c r="AP10" s="201"/>
      <c r="AQ10" s="202"/>
      <c r="AR10" s="213" t="s">
        <v>297</v>
      </c>
      <c r="AS10" s="532"/>
      <c r="AT10" s="200"/>
      <c r="AU10" s="201"/>
      <c r="AV10" s="202"/>
      <c r="AW10" s="186" t="s">
        <v>294</v>
      </c>
      <c r="AX10" s="499"/>
    </row>
  </sheetData>
  <mergeCells count="42">
    <mergeCell ref="A1:B1"/>
    <mergeCell ref="C1:AY1"/>
    <mergeCell ref="AZ1:BB2"/>
    <mergeCell ref="A2:B3"/>
    <mergeCell ref="C2:AY3"/>
    <mergeCell ref="AZ3:BB3"/>
    <mergeCell ref="J5:J6"/>
    <mergeCell ref="A4: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T5:AX5"/>
    <mergeCell ref="AY5:BB5"/>
    <mergeCell ref="AS5:AS6"/>
    <mergeCell ref="U5:U6"/>
    <mergeCell ref="V5:V6"/>
    <mergeCell ref="AF5:AF6"/>
    <mergeCell ref="AG5:AG6"/>
    <mergeCell ref="AQ5:AQ6"/>
    <mergeCell ref="AR5:AR6"/>
    <mergeCell ref="K5:K6"/>
    <mergeCell ref="AX9:AX10"/>
    <mergeCell ref="F7:F8"/>
    <mergeCell ref="A9:L9"/>
    <mergeCell ref="W9:W10"/>
    <mergeCell ref="AH9:AH10"/>
    <mergeCell ref="AS9:AS10"/>
    <mergeCell ref="A7:A8"/>
    <mergeCell ref="B7:B8"/>
    <mergeCell ref="C7:C8"/>
    <mergeCell ref="D7:D8"/>
    <mergeCell ref="E7:E8"/>
    <mergeCell ref="L7:L8"/>
    <mergeCell ref="L5:L6"/>
    <mergeCell ref="W5:W6"/>
    <mergeCell ref="AH5:AH6"/>
  </mergeCells>
  <conditionalFormatting sqref="AX9 AT7:AX8">
    <cfRule type="cellIs" dxfId="68" priority="1" operator="lessThan">
      <formula>0.6</formula>
    </cfRule>
    <cfRule type="cellIs" dxfId="67" priority="2" operator="between">
      <formula>60%</formula>
      <formula>79%</formula>
    </cfRule>
    <cfRule type="cellIs" dxfId="66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"/>
  <sheetViews>
    <sheetView topLeftCell="B7" zoomScale="70" zoomScaleNormal="70" workbookViewId="0">
      <selection activeCell="G7" sqref="G7:I10"/>
    </sheetView>
  </sheetViews>
  <sheetFormatPr baseColWidth="10" defaultRowHeight="12.75" x14ac:dyDescent="0.2"/>
  <cols>
    <col min="1" max="1" width="21.42578125" style="29" customWidth="1"/>
    <col min="2" max="2" width="29.140625" style="29" customWidth="1"/>
    <col min="3" max="3" width="38.7109375" style="29" customWidth="1"/>
    <col min="4" max="4" width="31" style="29" customWidth="1"/>
    <col min="5" max="5" width="20.7109375" style="29" customWidth="1"/>
    <col min="6" max="6" width="14.42578125" style="38" customWidth="1"/>
    <col min="7" max="7" width="25.85546875" style="29" customWidth="1"/>
    <col min="8" max="8" width="35.28515625" style="86" customWidth="1"/>
    <col min="9" max="9" width="16.5703125" style="29" customWidth="1"/>
    <col min="10" max="10" width="15.140625" style="29" customWidth="1"/>
    <col min="11" max="11" width="18.140625" style="29" customWidth="1"/>
    <col min="12" max="12" width="19.42578125" style="29" customWidth="1"/>
    <col min="13" max="13" width="19.42578125" style="57" customWidth="1"/>
    <col min="14" max="14" width="19.42578125" style="29" customWidth="1"/>
    <col min="15" max="15" width="17.85546875" style="29" customWidth="1"/>
    <col min="16" max="16" width="18.140625" style="29" customWidth="1"/>
    <col min="17" max="24" width="20.42578125" style="29" customWidth="1"/>
    <col min="25" max="25" width="41.42578125" style="29" customWidth="1"/>
    <col min="26" max="26" width="27" style="29" customWidth="1"/>
    <col min="27" max="27" width="22.140625" style="29" customWidth="1"/>
    <col min="28" max="28" width="19.42578125" style="57" hidden="1" customWidth="1"/>
    <col min="29" max="29" width="19.42578125" style="29" hidden="1" customWidth="1"/>
    <col min="30" max="30" width="17.85546875" style="29" hidden="1" customWidth="1"/>
    <col min="31" max="33" width="18.140625" style="29" hidden="1" customWidth="1"/>
    <col min="34" max="34" width="20.42578125" style="29" hidden="1" customWidth="1"/>
    <col min="35" max="35" width="19.28515625" style="29" hidden="1" customWidth="1"/>
    <col min="36" max="36" width="22.140625" style="29" hidden="1" customWidth="1"/>
    <col min="37" max="37" width="19.42578125" style="57" hidden="1" customWidth="1"/>
    <col min="38" max="38" width="19.42578125" style="29" hidden="1" customWidth="1"/>
    <col min="39" max="39" width="17.85546875" style="29" hidden="1" customWidth="1"/>
    <col min="40" max="42" width="18.140625" style="29" hidden="1" customWidth="1"/>
    <col min="43" max="43" width="20.42578125" style="29" hidden="1" customWidth="1"/>
    <col min="44" max="44" width="19.28515625" style="29" hidden="1" customWidth="1"/>
    <col min="45" max="45" width="22.140625" style="29" hidden="1" customWidth="1"/>
    <col min="46" max="46" width="17.7109375" style="29" customWidth="1"/>
    <col min="47" max="47" width="17.85546875" style="29" customWidth="1"/>
    <col min="48" max="48" width="19.140625" style="29" customWidth="1"/>
    <col min="49" max="49" width="18.7109375" style="29" customWidth="1"/>
    <col min="50" max="50" width="21" style="29" customWidth="1"/>
    <col min="51" max="51" width="26.5703125" style="29" customWidth="1"/>
    <col min="52" max="52" width="24.5703125" style="29" customWidth="1"/>
    <col min="53" max="53" width="28.140625" style="29" customWidth="1"/>
    <col min="54" max="54" width="27.85546875" style="29" customWidth="1"/>
    <col min="55" max="55" width="11.42578125" style="29"/>
    <col min="56" max="56" width="11.42578125" style="29" customWidth="1"/>
    <col min="57" max="16384" width="11.42578125" style="29"/>
  </cols>
  <sheetData>
    <row r="1" spans="1:54" ht="75.75" customHeight="1" x14ac:dyDescent="0.2">
      <c r="A1" s="472" t="s">
        <v>192</v>
      </c>
      <c r="B1" s="472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96"/>
      <c r="BA1" s="496"/>
      <c r="BB1" s="496"/>
    </row>
    <row r="2" spans="1:54" ht="41.25" customHeight="1" x14ac:dyDescent="0.2">
      <c r="A2" s="472" t="s">
        <v>694</v>
      </c>
      <c r="B2" s="472"/>
      <c r="C2" s="472" t="s">
        <v>356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96"/>
      <c r="BA2" s="496"/>
      <c r="BB2" s="496"/>
    </row>
    <row r="3" spans="1:54" ht="41.25" customHeight="1" x14ac:dyDescent="0.2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97" t="s">
        <v>695</v>
      </c>
      <c r="BA3" s="497"/>
      <c r="BB3" s="497"/>
    </row>
    <row r="4" spans="1:54" ht="32.25" customHeight="1" thickBot="1" x14ac:dyDescent="0.25">
      <c r="A4" s="481" t="s">
        <v>193</v>
      </c>
      <c r="B4" s="481"/>
      <c r="C4" s="481"/>
      <c r="D4" s="481"/>
    </row>
    <row r="5" spans="1:54" ht="57" customHeight="1" x14ac:dyDescent="0.2">
      <c r="A5" s="422" t="s">
        <v>1</v>
      </c>
      <c r="B5" s="422" t="s">
        <v>3</v>
      </c>
      <c r="C5" s="422" t="s">
        <v>194</v>
      </c>
      <c r="D5" s="422" t="s">
        <v>195</v>
      </c>
      <c r="E5" s="422" t="s">
        <v>196</v>
      </c>
      <c r="F5" s="544" t="s">
        <v>230</v>
      </c>
      <c r="G5" s="422" t="s">
        <v>227</v>
      </c>
      <c r="H5" s="422" t="s">
        <v>226</v>
      </c>
      <c r="I5" s="422" t="s">
        <v>8</v>
      </c>
      <c r="J5" s="484" t="s">
        <v>545</v>
      </c>
      <c r="K5" s="484" t="s">
        <v>574</v>
      </c>
      <c r="L5" s="487" t="s">
        <v>9</v>
      </c>
      <c r="M5" s="268" t="s">
        <v>446</v>
      </c>
      <c r="N5" s="390" t="s">
        <v>242</v>
      </c>
      <c r="O5" s="390" t="s">
        <v>581</v>
      </c>
      <c r="P5" s="390" t="s">
        <v>582</v>
      </c>
      <c r="Q5" s="390" t="s">
        <v>231</v>
      </c>
      <c r="R5" s="390" t="s">
        <v>223</v>
      </c>
      <c r="S5" s="390" t="s">
        <v>224</v>
      </c>
      <c r="T5" s="390" t="s">
        <v>289</v>
      </c>
      <c r="U5" s="390" t="s">
        <v>621</v>
      </c>
      <c r="V5" s="390" t="s">
        <v>743</v>
      </c>
      <c r="W5" s="390" t="s">
        <v>563</v>
      </c>
      <c r="X5" s="390" t="s">
        <v>744</v>
      </c>
      <c r="Y5" s="494" t="s">
        <v>447</v>
      </c>
      <c r="Z5" s="494" t="s">
        <v>448</v>
      </c>
      <c r="AA5" s="544" t="s">
        <v>290</v>
      </c>
      <c r="AB5" s="78"/>
      <c r="AC5" s="75"/>
      <c r="AD5" s="75"/>
      <c r="AE5" s="75"/>
      <c r="AF5" s="75"/>
      <c r="AG5" s="75"/>
      <c r="AH5" s="75"/>
      <c r="AI5" s="75"/>
      <c r="AJ5" s="544" t="s">
        <v>291</v>
      </c>
      <c r="AK5" s="78"/>
      <c r="AL5" s="75"/>
      <c r="AM5" s="75"/>
      <c r="AN5" s="75"/>
      <c r="AO5" s="75"/>
      <c r="AP5" s="75"/>
      <c r="AQ5" s="75"/>
      <c r="AR5" s="75"/>
      <c r="AS5" s="43"/>
      <c r="AT5" s="534" t="s">
        <v>11</v>
      </c>
      <c r="AU5" s="535"/>
      <c r="AV5" s="535"/>
      <c r="AW5" s="535"/>
      <c r="AX5" s="536"/>
      <c r="AY5" s="541" t="s">
        <v>197</v>
      </c>
      <c r="AZ5" s="542"/>
      <c r="BA5" s="542"/>
      <c r="BB5" s="543"/>
    </row>
    <row r="6" spans="1:54" ht="63" customHeight="1" x14ac:dyDescent="0.2">
      <c r="A6" s="423"/>
      <c r="B6" s="423"/>
      <c r="C6" s="423"/>
      <c r="D6" s="423"/>
      <c r="E6" s="423"/>
      <c r="F6" s="493"/>
      <c r="G6" s="423"/>
      <c r="H6" s="423"/>
      <c r="I6" s="423"/>
      <c r="J6" s="423"/>
      <c r="K6" s="423"/>
      <c r="L6" s="488"/>
      <c r="M6" s="269" t="s">
        <v>298</v>
      </c>
      <c r="N6" s="4" t="s">
        <v>298</v>
      </c>
      <c r="O6" s="4" t="s">
        <v>298</v>
      </c>
      <c r="P6" s="4" t="s">
        <v>298</v>
      </c>
      <c r="Q6" s="4" t="s">
        <v>298</v>
      </c>
      <c r="R6" s="4" t="s">
        <v>298</v>
      </c>
      <c r="S6" s="4" t="s">
        <v>298</v>
      </c>
      <c r="T6" s="4" t="s">
        <v>298</v>
      </c>
      <c r="U6" s="4" t="s">
        <v>298</v>
      </c>
      <c r="V6" s="4" t="s">
        <v>298</v>
      </c>
      <c r="W6" s="4" t="s">
        <v>298</v>
      </c>
      <c r="X6" s="4" t="s">
        <v>298</v>
      </c>
      <c r="Y6" s="495"/>
      <c r="Z6" s="495"/>
      <c r="AA6" s="493"/>
      <c r="AB6" s="4" t="s">
        <v>287</v>
      </c>
      <c r="AC6" s="4" t="s">
        <v>287</v>
      </c>
      <c r="AD6" s="4" t="s">
        <v>287</v>
      </c>
      <c r="AE6" s="4" t="s">
        <v>287</v>
      </c>
      <c r="AF6" s="4" t="s">
        <v>287</v>
      </c>
      <c r="AG6" s="4" t="s">
        <v>287</v>
      </c>
      <c r="AH6" s="4" t="s">
        <v>287</v>
      </c>
      <c r="AI6" s="4" t="s">
        <v>287</v>
      </c>
      <c r="AJ6" s="493"/>
      <c r="AK6" s="4" t="s">
        <v>288</v>
      </c>
      <c r="AL6" s="4" t="s">
        <v>288</v>
      </c>
      <c r="AM6" s="4" t="s">
        <v>288</v>
      </c>
      <c r="AN6" s="4" t="s">
        <v>288</v>
      </c>
      <c r="AO6" s="4" t="s">
        <v>288</v>
      </c>
      <c r="AP6" s="4" t="s">
        <v>288</v>
      </c>
      <c r="AQ6" s="4" t="s">
        <v>288</v>
      </c>
      <c r="AR6" s="4" t="s">
        <v>288</v>
      </c>
      <c r="AS6" s="4" t="s">
        <v>292</v>
      </c>
      <c r="AT6" s="5" t="s">
        <v>198</v>
      </c>
      <c r="AU6" s="5" t="s">
        <v>199</v>
      </c>
      <c r="AV6" s="5" t="s">
        <v>200</v>
      </c>
      <c r="AW6" s="5" t="s">
        <v>201</v>
      </c>
      <c r="AX6" s="5" t="s">
        <v>20</v>
      </c>
      <c r="AY6" s="33" t="s">
        <v>202</v>
      </c>
      <c r="AZ6" s="33" t="s">
        <v>203</v>
      </c>
      <c r="BA6" s="33" t="s">
        <v>204</v>
      </c>
      <c r="BB6" s="33" t="s">
        <v>205</v>
      </c>
    </row>
    <row r="7" spans="1:54" s="37" customFormat="1" ht="91.5" customHeight="1" x14ac:dyDescent="0.25">
      <c r="A7" s="505" t="s">
        <v>48</v>
      </c>
      <c r="B7" s="505" t="s">
        <v>305</v>
      </c>
      <c r="C7" s="505" t="s">
        <v>214</v>
      </c>
      <c r="D7" s="505" t="s">
        <v>306</v>
      </c>
      <c r="E7" s="505"/>
      <c r="F7" s="475">
        <v>0.65</v>
      </c>
      <c r="G7" s="6" t="s">
        <v>696</v>
      </c>
      <c r="H7" s="74" t="s">
        <v>704</v>
      </c>
      <c r="I7" s="6" t="s">
        <v>741</v>
      </c>
      <c r="J7" s="12" t="s">
        <v>613</v>
      </c>
      <c r="K7" s="12" t="s">
        <v>709</v>
      </c>
      <c r="L7" s="12" t="s">
        <v>702</v>
      </c>
      <c r="M7" s="56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56" t="s">
        <v>705</v>
      </c>
      <c r="Z7" s="56"/>
      <c r="AA7" s="84" t="e">
        <f>AVERAGE(M7:X7)</f>
        <v>#DIV/0!</v>
      </c>
      <c r="AB7" s="56"/>
      <c r="AC7" s="67"/>
      <c r="AD7" s="67"/>
      <c r="AE7" s="67"/>
      <c r="AF7" s="67"/>
      <c r="AG7" s="67"/>
      <c r="AH7" s="67"/>
      <c r="AI7" s="67"/>
      <c r="AJ7" s="84" t="str">
        <f>+IFERROR(AVERAGE(AB7:AI7),"-")</f>
        <v>-</v>
      </c>
      <c r="AK7" s="56"/>
      <c r="AL7" s="67"/>
      <c r="AM7" s="67"/>
      <c r="AN7" s="67"/>
      <c r="AO7" s="67"/>
      <c r="AP7" s="67"/>
      <c r="AQ7" s="67"/>
      <c r="AR7" s="67"/>
      <c r="AS7" s="84" t="str">
        <f>+IFERROR(AVERAGE(AK7:AR7),"-")</f>
        <v>-</v>
      </c>
      <c r="AT7" s="26" t="s">
        <v>225</v>
      </c>
      <c r="AU7" s="26" t="str">
        <f>IFERROR(IF(AA7&gt;=0.8,1,(AA7*100%)/0.8),"-")</f>
        <v>-</v>
      </c>
      <c r="AV7" s="26" t="str">
        <f>IFERROR((AJ7*100%)/$I$7,"-")</f>
        <v>-</v>
      </c>
      <c r="AW7" s="26" t="str">
        <f>IFERROR((AS7*100%)/$I$7,"-")</f>
        <v>-</v>
      </c>
      <c r="AX7" s="26" t="str">
        <f>IFERROR(AVERAGE(AT7:AW7),"-")</f>
        <v>-</v>
      </c>
      <c r="AY7" s="34"/>
      <c r="AZ7" s="35"/>
      <c r="BA7" s="36"/>
      <c r="BB7" s="36"/>
    </row>
    <row r="8" spans="1:54" ht="116.25" customHeight="1" x14ac:dyDescent="0.2">
      <c r="A8" s="506"/>
      <c r="B8" s="506"/>
      <c r="C8" s="506"/>
      <c r="D8" s="506"/>
      <c r="E8" s="506"/>
      <c r="F8" s="476"/>
      <c r="G8" s="6" t="s">
        <v>697</v>
      </c>
      <c r="H8" s="372" t="s">
        <v>703</v>
      </c>
      <c r="I8" s="6" t="s">
        <v>132</v>
      </c>
      <c r="J8" s="12" t="s">
        <v>613</v>
      </c>
      <c r="K8" s="12" t="s">
        <v>710</v>
      </c>
      <c r="L8" s="12" t="s">
        <v>702</v>
      </c>
      <c r="M8" s="5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7" t="s">
        <v>706</v>
      </c>
      <c r="Z8" s="7"/>
      <c r="AA8" s="84" t="e">
        <f>AVERAGE(M8:X8)</f>
        <v>#DIV/0!</v>
      </c>
      <c r="AB8" s="56"/>
      <c r="AC8" s="7"/>
      <c r="AD8" s="7"/>
      <c r="AE8" s="7"/>
      <c r="AF8" s="7"/>
      <c r="AG8" s="7"/>
      <c r="AH8" s="7"/>
      <c r="AI8" s="7"/>
      <c r="AJ8" s="84" t="str">
        <f>+IFERROR(AVERAGE(AB8:AI8),"-")</f>
        <v>-</v>
      </c>
      <c r="AK8" s="56"/>
      <c r="AL8" s="7"/>
      <c r="AM8" s="7"/>
      <c r="AN8" s="7"/>
      <c r="AO8" s="7"/>
      <c r="AP8" s="7"/>
      <c r="AQ8" s="7"/>
      <c r="AR8" s="7"/>
      <c r="AS8" s="84" t="str">
        <f>+IFERROR(AVERAGE(AK8:AR8),"-")</f>
        <v>-</v>
      </c>
      <c r="AT8" s="26" t="s">
        <v>225</v>
      </c>
      <c r="AU8" s="26" t="str">
        <f>IFERROR(IF(AA8&gt;=0.8,1,(AA8*100%)/0.8),"-")</f>
        <v>-</v>
      </c>
      <c r="AV8" s="26" t="str">
        <f>IFERROR((AJ8*100%)/$I$8,"-")</f>
        <v>-</v>
      </c>
      <c r="AW8" s="26" t="str">
        <f>IFERROR((AS8*100%)/$I$8,"-")</f>
        <v>-</v>
      </c>
      <c r="AX8" s="26" t="str">
        <f>IFERROR(AVERAGE(AT8:AW8),"-")</f>
        <v>-</v>
      </c>
      <c r="AY8" s="27"/>
      <c r="AZ8" s="30"/>
      <c r="BA8" s="28"/>
      <c r="BB8" s="28"/>
    </row>
    <row r="9" spans="1:54" ht="72.75" customHeight="1" x14ac:dyDescent="0.2">
      <c r="A9" s="506"/>
      <c r="B9" s="506"/>
      <c r="C9" s="506"/>
      <c r="D9" s="506"/>
      <c r="E9" s="506"/>
      <c r="F9" s="476"/>
      <c r="G9" s="6" t="s">
        <v>698</v>
      </c>
      <c r="H9" s="74" t="s">
        <v>699</v>
      </c>
      <c r="I9" s="6" t="s">
        <v>700</v>
      </c>
      <c r="J9" s="12" t="s">
        <v>613</v>
      </c>
      <c r="K9" s="12" t="s">
        <v>709</v>
      </c>
      <c r="L9" s="12" t="s">
        <v>702</v>
      </c>
      <c r="M9" s="56"/>
      <c r="N9" s="56"/>
      <c r="O9" s="7"/>
      <c r="P9" s="7"/>
      <c r="Q9" s="7"/>
      <c r="R9" s="7"/>
      <c r="S9" s="7"/>
      <c r="T9" s="7"/>
      <c r="U9" s="7"/>
      <c r="V9" s="7"/>
      <c r="W9" s="7"/>
      <c r="X9" s="7"/>
      <c r="Y9" s="67" t="s">
        <v>707</v>
      </c>
      <c r="Z9" s="7"/>
      <c r="AA9" s="84" t="e">
        <f>AVERAGE(M9:X9)</f>
        <v>#DIV/0!</v>
      </c>
      <c r="AB9" s="56"/>
      <c r="AC9" s="56"/>
      <c r="AD9" s="7"/>
      <c r="AE9" s="7"/>
      <c r="AF9" s="7"/>
      <c r="AG9" s="7"/>
      <c r="AH9" s="7"/>
      <c r="AI9" s="7"/>
      <c r="AJ9" s="84" t="str">
        <f>+IFERROR(AVERAGE(AB9:AI9),"-")</f>
        <v>-</v>
      </c>
      <c r="AK9" s="56"/>
      <c r="AL9" s="56"/>
      <c r="AM9" s="7"/>
      <c r="AN9" s="7"/>
      <c r="AO9" s="7"/>
      <c r="AP9" s="7"/>
      <c r="AQ9" s="7"/>
      <c r="AR9" s="7"/>
      <c r="AS9" s="84" t="str">
        <f>+IFERROR(AVERAGE(AK9:AR9),"-")</f>
        <v>-</v>
      </c>
      <c r="AT9" s="26" t="s">
        <v>225</v>
      </c>
      <c r="AU9" s="26" t="str">
        <f>IFERROR(IF(AA9&gt;=0.65,1,(AA9*100%)/0.65),"-")</f>
        <v>-</v>
      </c>
      <c r="AV9" s="26" t="str">
        <f>IFERROR((AJ9*100%)/I9,"-")</f>
        <v>-</v>
      </c>
      <c r="AW9" s="26" t="str">
        <f>IFERROR((AS9*100%)/I9,"-")</f>
        <v>-</v>
      </c>
      <c r="AX9" s="26" t="str">
        <f>IFERROR(AVERAGE(AT9:AW9),"-")</f>
        <v>-</v>
      </c>
      <c r="AY9" s="27"/>
      <c r="AZ9" s="30"/>
      <c r="BA9" s="28"/>
      <c r="BB9" s="31"/>
    </row>
    <row r="10" spans="1:54" ht="72.75" customHeight="1" x14ac:dyDescent="0.2">
      <c r="A10" s="506"/>
      <c r="B10" s="506"/>
      <c r="C10" s="506"/>
      <c r="D10" s="506"/>
      <c r="E10" s="506"/>
      <c r="F10" s="476"/>
      <c r="G10" s="6" t="s">
        <v>701</v>
      </c>
      <c r="H10" s="74" t="s">
        <v>765</v>
      </c>
      <c r="I10" s="6" t="s">
        <v>742</v>
      </c>
      <c r="J10" s="12" t="s">
        <v>614</v>
      </c>
      <c r="K10" s="12" t="s">
        <v>709</v>
      </c>
      <c r="L10" s="12" t="s">
        <v>702</v>
      </c>
      <c r="M10" s="56"/>
      <c r="N10" s="56"/>
      <c r="O10" s="7"/>
      <c r="P10" s="7"/>
      <c r="Q10" s="7"/>
      <c r="R10" s="7"/>
      <c r="S10" s="7"/>
      <c r="T10" s="7"/>
      <c r="U10" s="7"/>
      <c r="V10" s="7"/>
      <c r="W10" s="7"/>
      <c r="X10" s="7"/>
      <c r="Y10" s="67" t="s">
        <v>708</v>
      </c>
      <c r="Z10" s="7"/>
      <c r="AA10" s="84" t="e">
        <f>AVERAGE(M10:X10)</f>
        <v>#DIV/0!</v>
      </c>
      <c r="AB10" s="56"/>
      <c r="AC10" s="56"/>
      <c r="AD10" s="7"/>
      <c r="AE10" s="7"/>
      <c r="AF10" s="7"/>
      <c r="AG10" s="7"/>
      <c r="AH10" s="7"/>
      <c r="AI10" s="7"/>
      <c r="AJ10" s="84" t="str">
        <f>+IFERROR(AVERAGE(AB10:AI10),"-")</f>
        <v>-</v>
      </c>
      <c r="AK10" s="56"/>
      <c r="AL10" s="56"/>
      <c r="AM10" s="7"/>
      <c r="AN10" s="7"/>
      <c r="AO10" s="7"/>
      <c r="AP10" s="7"/>
      <c r="AQ10" s="7"/>
      <c r="AR10" s="7"/>
      <c r="AS10" s="84" t="str">
        <f>+IFERROR(AVERAGE(AK10:AR10),"-")</f>
        <v>-</v>
      </c>
      <c r="AT10" s="26" t="s">
        <v>225</v>
      </c>
      <c r="AU10" s="26" t="str">
        <f>IFERROR(IF(AA10&gt;=0.4,1,(AA10*100%)/0.4),"-")</f>
        <v>-</v>
      </c>
      <c r="AV10" s="26" t="str">
        <f>IFERROR((AJ10*100%)/I10,"-")</f>
        <v>-</v>
      </c>
      <c r="AW10" s="26" t="str">
        <f>IFERROR((AS10*100%)/I10,"-")</f>
        <v>-</v>
      </c>
      <c r="AX10" s="26" t="str">
        <f>IFERROR(AVERAGE(AT10:AW10),"-")</f>
        <v>-</v>
      </c>
      <c r="AY10" s="27"/>
      <c r="AZ10" s="30"/>
      <c r="BA10" s="28"/>
      <c r="BB10" s="31"/>
    </row>
    <row r="11" spans="1:54" s="68" customFormat="1" ht="45.6" customHeight="1" x14ac:dyDescent="0.2">
      <c r="A11" s="539" t="s">
        <v>293</v>
      </c>
      <c r="B11" s="539"/>
      <c r="C11" s="539"/>
      <c r="D11" s="539"/>
      <c r="E11" s="539"/>
      <c r="F11" s="539"/>
      <c r="G11" s="539"/>
      <c r="H11" s="539"/>
      <c r="I11" s="539"/>
      <c r="J11" s="266"/>
      <c r="K11" s="266"/>
      <c r="L11" s="266"/>
      <c r="M11" s="70" t="str">
        <f t="shared" ref="M11:AX11" si="0">IFERROR(AVERAGE(M7:M10),"-")</f>
        <v>-</v>
      </c>
      <c r="N11" s="69" t="str">
        <f t="shared" si="0"/>
        <v>-</v>
      </c>
      <c r="O11" s="69" t="str">
        <f t="shared" si="0"/>
        <v>-</v>
      </c>
      <c r="P11" s="69" t="str">
        <f t="shared" si="0"/>
        <v>-</v>
      </c>
      <c r="Q11" s="69" t="str">
        <f t="shared" si="0"/>
        <v>-</v>
      </c>
      <c r="R11" s="69" t="str">
        <f t="shared" si="0"/>
        <v>-</v>
      </c>
      <c r="S11" s="69" t="str">
        <f t="shared" si="0"/>
        <v>-</v>
      </c>
      <c r="T11" s="69" t="str">
        <f t="shared" si="0"/>
        <v>-</v>
      </c>
      <c r="U11" s="69" t="str">
        <f t="shared" si="0"/>
        <v>-</v>
      </c>
      <c r="V11" s="69" t="str">
        <f t="shared" si="0"/>
        <v>-</v>
      </c>
      <c r="W11" s="69" t="str">
        <f t="shared" si="0"/>
        <v>-</v>
      </c>
      <c r="X11" s="69" t="str">
        <f t="shared" si="0"/>
        <v>-</v>
      </c>
      <c r="Y11" s="27"/>
      <c r="Z11" s="72"/>
      <c r="AA11" s="540" t="str">
        <f t="shared" si="0"/>
        <v>-</v>
      </c>
      <c r="AB11" s="69" t="str">
        <f t="shared" si="0"/>
        <v>-</v>
      </c>
      <c r="AC11" s="69" t="str">
        <f t="shared" si="0"/>
        <v>-</v>
      </c>
      <c r="AD11" s="69" t="str">
        <f t="shared" si="0"/>
        <v>-</v>
      </c>
      <c r="AE11" s="69" t="str">
        <f t="shared" si="0"/>
        <v>-</v>
      </c>
      <c r="AF11" s="69" t="str">
        <f t="shared" si="0"/>
        <v>-</v>
      </c>
      <c r="AG11" s="69" t="str">
        <f t="shared" si="0"/>
        <v>-</v>
      </c>
      <c r="AH11" s="69" t="str">
        <f t="shared" si="0"/>
        <v>-</v>
      </c>
      <c r="AI11" s="69" t="str">
        <f t="shared" si="0"/>
        <v>-</v>
      </c>
      <c r="AJ11" s="540" t="str">
        <f t="shared" si="0"/>
        <v>-</v>
      </c>
      <c r="AK11" s="69" t="str">
        <f t="shared" si="0"/>
        <v>-</v>
      </c>
      <c r="AL11" s="69" t="str">
        <f t="shared" si="0"/>
        <v>-</v>
      </c>
      <c r="AM11" s="69" t="str">
        <f t="shared" si="0"/>
        <v>-</v>
      </c>
      <c r="AN11" s="69" t="str">
        <f t="shared" si="0"/>
        <v>-</v>
      </c>
      <c r="AO11" s="69" t="str">
        <f t="shared" si="0"/>
        <v>-</v>
      </c>
      <c r="AP11" s="69" t="str">
        <f t="shared" si="0"/>
        <v>-</v>
      </c>
      <c r="AQ11" s="69" t="str">
        <f t="shared" si="0"/>
        <v>-</v>
      </c>
      <c r="AR11" s="69" t="str">
        <f t="shared" si="0"/>
        <v>-</v>
      </c>
      <c r="AS11" s="540" t="str">
        <f t="shared" si="0"/>
        <v>-</v>
      </c>
      <c r="AT11" s="69" t="str">
        <f t="shared" si="0"/>
        <v>-</v>
      </c>
      <c r="AU11" s="69" t="str">
        <f t="shared" si="0"/>
        <v>-</v>
      </c>
      <c r="AV11" s="69" t="str">
        <f t="shared" si="0"/>
        <v>-</v>
      </c>
      <c r="AW11" s="69" t="str">
        <f t="shared" si="0"/>
        <v>-</v>
      </c>
      <c r="AX11" s="537" t="str">
        <f t="shared" si="0"/>
        <v>-</v>
      </c>
      <c r="AY11" s="31"/>
      <c r="AZ11" s="32"/>
      <c r="BA11" s="28"/>
      <c r="BB11" s="31"/>
    </row>
    <row r="12" spans="1:54" ht="26.25" thickBot="1" x14ac:dyDescent="0.25">
      <c r="Z12" s="373" t="s">
        <v>295</v>
      </c>
      <c r="AA12" s="540"/>
      <c r="AI12" s="72" t="s">
        <v>296</v>
      </c>
      <c r="AJ12" s="540"/>
      <c r="AR12" s="72" t="s">
        <v>297</v>
      </c>
      <c r="AS12" s="540"/>
      <c r="AW12" s="71" t="s">
        <v>294</v>
      </c>
      <c r="AX12" s="538"/>
    </row>
    <row r="15" spans="1:54" ht="45" x14ac:dyDescent="0.25">
      <c r="G15" s="520" t="str">
        <f>+D7</f>
        <v>Programa  Gestión y minimización de los riesgos asociados a la atención en sa</v>
      </c>
      <c r="H15" s="517" t="s">
        <v>647</v>
      </c>
      <c r="I15" s="517"/>
      <c r="J15" s="517"/>
      <c r="K15" s="517"/>
      <c r="L15" s="517"/>
      <c r="M15" s="314" t="s">
        <v>638</v>
      </c>
      <c r="N15" s="314"/>
      <c r="O15" s="315" t="s">
        <v>645</v>
      </c>
      <c r="P15" s="316" t="s">
        <v>643</v>
      </c>
      <c r="Q15" s="316" t="s">
        <v>644</v>
      </c>
      <c r="R15" s="317" t="s">
        <v>642</v>
      </c>
    </row>
    <row r="16" spans="1:54" ht="15" x14ac:dyDescent="0.25">
      <c r="G16" s="520"/>
      <c r="H16" s="533" t="str">
        <f>+G7</f>
        <v>Proporción de vigilancia de eventos adversos</v>
      </c>
      <c r="I16" s="522"/>
      <c r="J16" s="522"/>
      <c r="K16" s="522"/>
      <c r="L16" s="523"/>
      <c r="M16" s="319" t="str">
        <f>+I7</f>
        <v> &gt;80%</v>
      </c>
      <c r="N16" s="319"/>
      <c r="O16" s="518">
        <v>0.65</v>
      </c>
      <c r="P16" s="319" t="e">
        <f>+AA7</f>
        <v>#DIV/0!</v>
      </c>
      <c r="Q16" s="319" t="str">
        <f>IFERROR(IF(P16&gt;=0.8,1,(P16*100%)/0.8),"-")</f>
        <v>-</v>
      </c>
      <c r="R16" s="519" t="str">
        <f>IFERROR(+P20,"-")</f>
        <v>-</v>
      </c>
    </row>
    <row r="17" spans="7:18" ht="15" x14ac:dyDescent="0.25">
      <c r="G17" s="520"/>
      <c r="H17" s="533" t="str">
        <f t="shared" ref="H17:H19" si="1">+G8</f>
        <v>Promedio de la calificación de adherencia a las buenas prácticas de seguridad del paciente</v>
      </c>
      <c r="I17" s="522"/>
      <c r="J17" s="522"/>
      <c r="K17" s="522"/>
      <c r="L17" s="523"/>
      <c r="M17" s="319" t="str">
        <f>+I8</f>
        <v>&gt;=80%</v>
      </c>
      <c r="N17" s="319"/>
      <c r="O17" s="518"/>
      <c r="P17" s="319" t="e">
        <f>+AA8</f>
        <v>#DIV/0!</v>
      </c>
      <c r="Q17" s="319" t="str">
        <f>IFERROR(IF(P17&gt;=0.8,1,(P17*100%)/0.8),"-")</f>
        <v>-</v>
      </c>
      <c r="R17" s="519"/>
    </row>
    <row r="18" spans="7:18" ht="15" x14ac:dyDescent="0.25">
      <c r="G18" s="520"/>
      <c r="H18" s="533" t="str">
        <f t="shared" si="1"/>
        <v xml:space="preserve">Promedio de la calificación de la implementación de las buenas practicas de seguridad del paciente priorizadas </v>
      </c>
      <c r="I18" s="522"/>
      <c r="J18" s="522"/>
      <c r="K18" s="522"/>
      <c r="L18" s="523"/>
      <c r="M18" s="319" t="str">
        <f>+I9</f>
        <v>&gt;=65%</v>
      </c>
      <c r="N18" s="319"/>
      <c r="O18" s="518"/>
      <c r="P18" s="319" t="e">
        <f>+AA9</f>
        <v>#DIV/0!</v>
      </c>
      <c r="Q18" s="319" t="str">
        <f>IFERROR(IF(P18&gt;=0.65,1,(P18*100%)/0.65),"-")</f>
        <v>-</v>
      </c>
      <c r="R18" s="519"/>
    </row>
    <row r="19" spans="7:18" ht="15" x14ac:dyDescent="0.25">
      <c r="G19" s="520"/>
      <c r="H19" s="533" t="str">
        <f t="shared" si="1"/>
        <v>Gestión del riesgo extremo y alto en seguridad del paciente</v>
      </c>
      <c r="I19" s="522"/>
      <c r="J19" s="522"/>
      <c r="K19" s="522"/>
      <c r="L19" s="523"/>
      <c r="M19" s="319" t="str">
        <f>+I10</f>
        <v>&gt;=40%</v>
      </c>
      <c r="N19" s="319"/>
      <c r="O19" s="518"/>
      <c r="P19" s="319" t="e">
        <f>+AA10</f>
        <v>#DIV/0!</v>
      </c>
      <c r="Q19" s="319" t="str">
        <f>IFERROR(IF(P19&gt;=0.4,1,(P19*100%)/0.4),"-")</f>
        <v>-</v>
      </c>
      <c r="R19" s="519"/>
    </row>
    <row r="20" spans="7:18" ht="15" x14ac:dyDescent="0.25">
      <c r="H20" s="29"/>
      <c r="N20" s="57"/>
      <c r="O20" s="38"/>
      <c r="P20" s="318" t="e">
        <f>+AVERAGE(P16:P19)</f>
        <v>#DIV/0!</v>
      </c>
      <c r="Q20" s="311"/>
    </row>
  </sheetData>
  <mergeCells count="44">
    <mergeCell ref="A1:B1"/>
    <mergeCell ref="C1:AY1"/>
    <mergeCell ref="AZ1:BB2"/>
    <mergeCell ref="A2:B3"/>
    <mergeCell ref="C2:AY3"/>
    <mergeCell ref="AZ3:BB3"/>
    <mergeCell ref="AY5:BB5"/>
    <mergeCell ref="L5:L6"/>
    <mergeCell ref="A4: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A5:AA6"/>
    <mergeCell ref="AJ5:AJ6"/>
    <mergeCell ref="F7:F10"/>
    <mergeCell ref="A11:I11"/>
    <mergeCell ref="AA11:AA12"/>
    <mergeCell ref="AJ11:AJ12"/>
    <mergeCell ref="AS11:AS12"/>
    <mergeCell ref="A7:A10"/>
    <mergeCell ref="B7:B10"/>
    <mergeCell ref="C7:C10"/>
    <mergeCell ref="D7:D10"/>
    <mergeCell ref="E7:E10"/>
    <mergeCell ref="R16:R19"/>
    <mergeCell ref="H18:L18"/>
    <mergeCell ref="H19:L19"/>
    <mergeCell ref="AT5:AX5"/>
    <mergeCell ref="AX11:AX12"/>
    <mergeCell ref="Y5:Y6"/>
    <mergeCell ref="Z5:Z6"/>
    <mergeCell ref="H15:L15"/>
    <mergeCell ref="H16:L16"/>
    <mergeCell ref="H17:L17"/>
    <mergeCell ref="G15:G19"/>
    <mergeCell ref="O16:O19"/>
  </mergeCells>
  <conditionalFormatting sqref="AX11 AT7:AT10 AV7:AX10">
    <cfRule type="cellIs" dxfId="65" priority="4" operator="lessThan">
      <formula>0.6</formula>
    </cfRule>
    <cfRule type="cellIs" dxfId="64" priority="5" operator="between">
      <formula>60%</formula>
      <formula>79%</formula>
    </cfRule>
    <cfRule type="cellIs" dxfId="63" priority="6" operator="between">
      <formula>80%</formula>
      <formula>100%</formula>
    </cfRule>
  </conditionalFormatting>
  <conditionalFormatting sqref="AU7:AU10">
    <cfRule type="cellIs" dxfId="62" priority="1" operator="lessThan">
      <formula>0.6</formula>
    </cfRule>
    <cfRule type="cellIs" dxfId="61" priority="2" operator="between">
      <formula>60%</formula>
      <formula>79%</formula>
    </cfRule>
    <cfRule type="cellIs" dxfId="60" priority="3" operator="between">
      <formula>80%</formula>
      <formula>100%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</vt:i4>
      </vt:variant>
    </vt:vector>
  </HeadingPairs>
  <TitlesOfParts>
    <vt:vector size="24" baseType="lpstr">
      <vt:lpstr>POA INST</vt:lpstr>
      <vt:lpstr>Instructivo Evaluación</vt:lpstr>
      <vt:lpstr>PLAN DESARROLLO</vt:lpstr>
      <vt:lpstr>PROGRAMAS ESTRATEGICOS</vt:lpstr>
      <vt:lpstr>Despliegue POA</vt:lpstr>
      <vt:lpstr>Programa Humanizacion</vt:lpstr>
      <vt:lpstr>Modelo Atención</vt:lpstr>
      <vt:lpstr>Acreditación</vt:lpstr>
      <vt:lpstr>Seguridad Paciente</vt:lpstr>
      <vt:lpstr>Alta Complejidad</vt:lpstr>
      <vt:lpstr>PEGIF</vt:lpstr>
      <vt:lpstr>Costos</vt:lpstr>
      <vt:lpstr>Prevención Daño Ant</vt:lpstr>
      <vt:lpstr>MIPG</vt:lpstr>
      <vt:lpstr>Integración SI</vt:lpstr>
      <vt:lpstr>Construcción-Adecuación</vt:lpstr>
      <vt:lpstr>Gestión Tecnología</vt:lpstr>
      <vt:lpstr>PEGITH</vt:lpstr>
      <vt:lpstr>ISO 140012015</vt:lpstr>
      <vt:lpstr>ISO 450012018</vt:lpstr>
      <vt:lpstr>ISO 90012015</vt:lpstr>
      <vt:lpstr>BPE</vt:lpstr>
      <vt:lpstr>Gestion Investigación</vt:lpstr>
      <vt:lpstr>'Despliegue POA'!Área_de_impresión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CALIDAD03</dc:creator>
  <cp:lastModifiedBy>CALIDAD03</cp:lastModifiedBy>
  <cp:lastPrinted>2021-06-02T23:00:48Z</cp:lastPrinted>
  <dcterms:created xsi:type="dcterms:W3CDTF">2021-05-11T21:38:35Z</dcterms:created>
  <dcterms:modified xsi:type="dcterms:W3CDTF">2022-05-05T19:36:45Z</dcterms:modified>
</cp:coreProperties>
</file>